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січень 17" sheetId="1" r:id="rId1"/>
    <sheet name="грудень" sheetId="2" r:id="rId2"/>
    <sheet name="листопад" sheetId="3" r:id="rId3"/>
    <sheet name="жовтень" sheetId="4" r:id="rId4"/>
    <sheet name="вересень" sheetId="5" r:id="rId5"/>
    <sheet name="серпень" sheetId="6" r:id="rId6"/>
    <sheet name="липень" sheetId="7" r:id="rId7"/>
  </sheets>
  <externalReferences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<sst xmlns="http://schemas.openxmlformats.org/spreadsheetml/2006/main" count="947" uniqueCount="185">
  <si>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</si>
  <si>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</si>
  <si>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</si>
  <si>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</si>
  <si>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</si>
  <si>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</si>
  <si>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</si>
  <si>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</si>
  <si>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</si>
  <si>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</si>
  <si>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</si>
  <si>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</si>
  <si>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</si>
  <si>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</si>
  <si>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</si>
  <si>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</si>
  <si>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</si>
  <si>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</si>
  <si>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</si>
  <si>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</si>
  <si>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</si>
  <si>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</si>
  <si>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</si>
  <si>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</si>
  <si>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</si>
  <si>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</si>
  <si>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</si>
  <si>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</si>
  <si>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</si>
  <si>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</si>
  <si>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</si>
  <si>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</si>
  <si>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</si>
  <si>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</si>
  <si>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</si>
  <si>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</si>
  <si>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</si>
  <si>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</si>
  <si>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</si>
  <si>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</si>
  <si>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</si>
  <si>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</si>
  <si>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</si>
  <si>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</si>
  <si>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</si>
  <si>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</si>
  <si>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</si>
  <si>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</si>
  <si>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</si>
  <si>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</si>
  <si>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</si>
  <si>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</si>
  <si>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</si>
  <si>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</si>
  <si>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</si>
  <si>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</si>
  <si>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</si>
  <si>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</si>
  <si>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</si>
  <si>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</si>
  <si>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</si>
  <si>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</si>
  <si>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</si>
  <si>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</si>
  <si>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</si>
  <si>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</si>
  <si>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</si>
  <si>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</si>
  <si>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</si>
  <si>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</si>
  <si>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</si>
  <si>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</si>
  <si>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</si>
  <si>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</si>
  <si>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</si>
  <si>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</si>
  <si>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</si>
  <si>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</si>
  <si>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</si>
  <si>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</si>
  <si>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</si>
  <si>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</si>
  <si>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</si>
  <si>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</si>
  <si>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</si>
  <si>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</si>
  <si>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</si>
  <si>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</si>
  <si>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</si>
  <si>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</si>
  <si>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</si>
  <si>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</si>
  <si>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</si>
  <si>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</si>
  <si>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</si>
  <si>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</si>
  <si>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</si>
  <si>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</si>
  <si>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</si>
  <si>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</si>
  <si>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</si>
  <si>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</si>
  <si>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</si>
  <si>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</si>
  <si>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</si>
  <si>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</si>
  <si>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</si>
  <si>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</si>
  <si>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</si>
  <si>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</si>
  <si>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</si>
  <si>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</si>
  <si>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</si>
  <si>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</si>
  <si>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</si>
  <si>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</si>
  <si>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>hh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</si>
  <si>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</si>
  <si>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Відхилення (+,-) до  плану на січень-липень 2016 року</t>
  </si>
  <si>
    <t>% виконання  плану на січень-липень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</si>
  <si>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</si>
  <si>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</si>
  <si>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</si>
  <si>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t xml:space="preserve"> + -</t>
  </si>
  <si>
    <t>факт 2015</t>
  </si>
  <si>
    <t xml:space="preserve"> - Збір за місця для паркування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</si>
  <si>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</si>
  <si>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29.07.16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</si>
  <si>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</t>
    </r>
  </si>
  <si>
    <t>Відхилення (+,-) до  плану на січень-серпень 2016 року</t>
  </si>
  <si>
    <t>% виконання  плану на січень-серпень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</si>
  <si>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</si>
  <si>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</si>
  <si>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</si>
  <si>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01.09.2016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</si>
  <si>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31.08.16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</si>
  <si>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січень-вересень</t>
    </r>
  </si>
  <si>
    <t>Відхилення (+,-) до  плану на січень-вересень 2016 року</t>
  </si>
  <si>
    <t>% виконання  плану на січень-вересень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</si>
  <si>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вересень</t>
    </r>
    <r>
      <rPr>
        <b/>
        <sz val="11"/>
        <rFont val="Times New Roman"/>
        <family val="1"/>
      </rPr>
      <t xml:space="preserve">  місяць  </t>
    </r>
  </si>
  <si>
    <t>Виконано у вересні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</si>
  <si>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січень-вересень</t>
    </r>
    <r>
      <rPr>
        <b/>
        <sz val="10"/>
        <rFont val="Times New Roman"/>
        <family val="1"/>
      </rPr>
      <t xml:space="preserve"> 2016 та 2015 років</t>
    </r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</si>
  <si>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</si>
  <si>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</si>
  <si>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01.10.2016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</si>
  <si>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30.09.16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</si>
  <si>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жовтень</t>
    </r>
    <r>
      <rPr>
        <b/>
        <sz val="11"/>
        <rFont val="Times New Roman"/>
        <family val="1"/>
      </rPr>
      <t xml:space="preserve">  місяць  </t>
    </r>
  </si>
  <si>
    <t>Виконано у жовтні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</si>
  <si>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січень-жовтень</t>
    </r>
  </si>
  <si>
    <t>Відхилення (+,-) до  плану на січень-жовтень 2016 року</t>
  </si>
  <si>
    <t>% виконання  плану на січень-жовтень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</si>
  <si>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січень-жовтень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</si>
  <si>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01.11.2016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</si>
  <si>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31.10.16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</si>
  <si>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січень-листопад</t>
    </r>
  </si>
  <si>
    <t>Виконано у листопаді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</si>
  <si>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січень-листопад</t>
    </r>
    <r>
      <rPr>
        <b/>
        <sz val="10"/>
        <rFont val="Times New Roman"/>
        <family val="1"/>
      </rPr>
      <t xml:space="preserve"> 2016 та 2015 років</t>
    </r>
  </si>
  <si>
    <t>податки, що контролюються ДПІ</t>
  </si>
  <si>
    <t>податки, що не контролюються ДПІ</t>
  </si>
  <si>
    <t>ВСЬОГО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</si>
  <si>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01.12.2016</t>
    </r>
    <r>
      <rPr>
        <b/>
        <sz val="16"/>
        <rFont val="Times New Roman"/>
        <family val="1"/>
      </rPr>
      <t>р.</t>
    </r>
  </si>
  <si>
    <t>Відхилення (+,-) до  плану на січень-грудень 2016 року</t>
  </si>
  <si>
    <t>% виконання  плану на січень-грудень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</si>
  <si>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</si>
  <si>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</si>
  <si>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t>Виконано у грудні</t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</si>
  <si>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2016 рік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</si>
  <si>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січень-грудень</t>
    </r>
  </si>
  <si>
    <t>Відхилення (+,-) до  плану на січень-грудень2016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</si>
  <si>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</si>
  <si>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січень-грудень</t>
    </r>
    <r>
      <rPr>
        <b/>
        <sz val="10"/>
        <rFont val="Times New Roman"/>
        <family val="1"/>
      </rPr>
      <t xml:space="preserve"> 2016 та 2015 років</t>
    </r>
  </si>
  <si>
    <t>адмінпослуги (3) з травня 2016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</si>
  <si>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01.01.2017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</si>
  <si>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30.12.16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</si>
  <si>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</si>
  <si>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</si>
  <si>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</si>
  <si>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</si>
  <si>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</si>
  <si>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</si>
  <si>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</si>
  <si>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</si>
  <si>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</si>
  <si>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t>Надходження коштів від с\г втрат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</si>
  <si>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17.01.2017</t>
    </r>
    <r>
      <rPr>
        <b/>
        <sz val="16"/>
        <rFont val="Times New Roman"/>
        <family val="1"/>
      </rPr>
      <t>р.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</si>
</sst>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76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26" fillId="0" borderId="0">
      <alignment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25" fillId="0" borderId="0">
      <alignment/>
      <protection/>
    </xf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79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8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4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4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7" fillId="0" borderId="0" xfId="54" applyNumberFormat="1" applyFont="1" applyFill="1" applyProtection="1">
      <alignment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8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4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4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3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74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6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6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4" fillId="37" borderId="10" xfId="54" applyFont="1" applyFill="1" applyBorder="1" applyAlignment="1" applyProtection="1">
      <alignment vertical="center"/>
      <protection/>
    </xf>
    <xf numFmtId="182" fontId="37" fillId="37" borderId="10" xfId="0" applyNumberFormat="1" applyFont="1" applyFill="1" applyBorder="1" applyAlignment="1" applyProtection="1">
      <alignment horizontal="right"/>
      <protection locked="0"/>
    </xf>
    <xf numFmtId="182" fontId="37" fillId="37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4" applyNumberFormat="1" applyFont="1" applyFill="1" applyProtection="1">
      <alignment/>
      <protection/>
    </xf>
    <xf numFmtId="182" fontId="7" fillId="38" borderId="0" xfId="54" applyNumberFormat="1" applyFont="1" applyFill="1" applyBorder="1" applyProtection="1">
      <alignment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74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20" fillId="0" borderId="10" xfId="0" applyNumberFormat="1" applyFont="1" applyBorder="1" applyAlignment="1" applyProtection="1">
      <alignment/>
      <protection/>
    </xf>
    <xf numFmtId="191" fontId="73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82" fontId="37" fillId="37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7" fillId="37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75" fillId="0" borderId="0" xfId="0" applyFont="1" applyAlignment="1" applyProtection="1">
      <alignment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191" fontId="73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4" applyNumberFormat="1" applyFont="1" applyFill="1" applyProtection="1">
      <alignment/>
      <protection/>
    </xf>
    <xf numFmtId="191" fontId="7" fillId="0" borderId="0" xfId="54" applyNumberFormat="1" applyFont="1" applyProtection="1">
      <alignment/>
      <protection/>
    </xf>
    <xf numFmtId="4" fontId="3" fillId="34" borderId="10" xfId="54" applyNumberFormat="1" applyFont="1" applyFill="1" applyBorder="1" applyProtection="1">
      <alignment/>
      <protection/>
    </xf>
    <xf numFmtId="0" fontId="7" fillId="38" borderId="10" xfId="54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4" applyFont="1" applyFill="1" applyBorder="1" applyAlignment="1" applyProtection="1">
      <alignment vertical="center" wrapText="1"/>
      <protection/>
    </xf>
    <xf numFmtId="0" fontId="7" fillId="38" borderId="10" xfId="54" applyFont="1" applyFill="1" applyBorder="1" applyAlignment="1" applyProtection="1">
      <alignment horizontal="left" wrapText="1"/>
      <protection/>
    </xf>
    <xf numFmtId="0" fontId="7" fillId="38" borderId="10" xfId="54" applyFont="1" applyFill="1" applyBorder="1" applyAlignment="1" applyProtection="1">
      <alignment wrapText="1"/>
      <protection/>
    </xf>
    <xf numFmtId="0" fontId="12" fillId="0" borderId="0" xfId="54" applyFont="1" applyAlignment="1" applyProtection="1">
      <alignment horizontal="center"/>
      <protection/>
    </xf>
    <xf numFmtId="0" fontId="73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8" xfId="59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8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24" fillId="13" borderId="18" xfId="54" applyFont="1" applyFill="1" applyBorder="1" applyAlignment="1" applyProtection="1">
      <alignment horizontal="center" vertical="center" wrapText="1"/>
      <protection/>
    </xf>
    <xf numFmtId="0" fontId="24" fillId="13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4" fillId="0" borderId="19" xfId="54" applyFont="1" applyFill="1" applyBorder="1" applyAlignment="1" applyProtection="1">
      <alignment horizontal="center" vertical="center" wrapText="1"/>
      <protection/>
    </xf>
    <xf numFmtId="0" fontId="24" fillId="0" borderId="20" xfId="54" applyFont="1" applyFill="1" applyBorder="1" applyAlignment="1" applyProtection="1">
      <alignment horizontal="center" vertical="center" wrapText="1"/>
      <protection/>
    </xf>
    <xf numFmtId="0" fontId="24" fillId="0" borderId="21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0" fontId="7" fillId="0" borderId="0" xfId="54" applyFont="1" applyAlignment="1" applyProtection="1">
      <alignment horizontal="right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center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7" fillId="0" borderId="0" xfId="54" applyFont="1" applyAlignment="1" applyProtection="1">
      <alignment horizontal="center"/>
      <protection/>
    </xf>
    <xf numFmtId="0" fontId="19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28" fillId="0" borderId="0" xfId="54" applyFont="1" applyAlignment="1" applyProtection="1">
      <alignment horizontal="center"/>
      <protection/>
    </xf>
    <xf numFmtId="0" fontId="28" fillId="0" borderId="0" xfId="54" applyFont="1" applyBorder="1" applyAlignment="1" applyProtection="1">
      <alignment horizontal="center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очік на  ост квітень"/>
      <sheetName val="180000"/>
      <sheetName val="ЧТК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00180412"/>
      <sheetName val="220804"/>
      <sheetName val="очік на кредит"/>
      <sheetName val="очік-03"/>
      <sheetName val="депозит"/>
      <sheetName val="надх"/>
      <sheetName val="залишки  (2)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  <sheetDataSet>
      <sheetData sheetId="19">
        <row r="6">
          <cell r="G6">
            <v>2.56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03"/>
  <sheetViews>
    <sheetView tabSelected="1" zoomScale="81" zoomScaleNormal="81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4" sqref="D9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242" t="s">
        <v>184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86"/>
      <c r="S1" s="87"/>
    </row>
    <row r="2" spans="2:19" s="1" customFormat="1" ht="15.75" customHeight="1">
      <c r="B2" s="243"/>
      <c r="C2" s="243"/>
      <c r="D2" s="243"/>
      <c r="E2" s="2"/>
      <c r="F2" s="112"/>
      <c r="G2" s="2"/>
      <c r="H2" s="2"/>
      <c r="I2" s="1" t="s">
        <v>180</v>
      </c>
      <c r="M2" s="1" t="s">
        <v>24</v>
      </c>
      <c r="Q2" s="17" t="s">
        <v>24</v>
      </c>
      <c r="R2" s="17"/>
      <c r="S2" s="88"/>
    </row>
    <row r="3" spans="1:19" s="3" customFormat="1" ht="13.5" customHeight="1">
      <c r="A3" s="244"/>
      <c r="B3" s="246"/>
      <c r="C3" s="247" t="s">
        <v>0</v>
      </c>
      <c r="D3" s="248" t="s">
        <v>174</v>
      </c>
      <c r="E3" s="32"/>
      <c r="F3" s="249" t="s">
        <v>26</v>
      </c>
      <c r="G3" s="250"/>
      <c r="H3" s="250"/>
      <c r="I3" s="250"/>
      <c r="J3" s="251"/>
      <c r="K3" s="83"/>
      <c r="L3" s="83"/>
      <c r="M3" s="83"/>
      <c r="N3" s="252" t="s">
        <v>163</v>
      </c>
      <c r="O3" s="255" t="s">
        <v>155</v>
      </c>
      <c r="P3" s="255"/>
      <c r="Q3" s="255"/>
      <c r="R3" s="255"/>
      <c r="S3" s="255"/>
    </row>
    <row r="4" spans="1:19" ht="22.5" customHeight="1">
      <c r="A4" s="244"/>
      <c r="B4" s="246"/>
      <c r="C4" s="247"/>
      <c r="D4" s="248"/>
      <c r="E4" s="256" t="s">
        <v>175</v>
      </c>
      <c r="F4" s="258" t="s">
        <v>33</v>
      </c>
      <c r="G4" s="260" t="s">
        <v>176</v>
      </c>
      <c r="H4" s="253" t="s">
        <v>177</v>
      </c>
      <c r="I4" s="260" t="s">
        <v>178</v>
      </c>
      <c r="J4" s="253" t="s">
        <v>179</v>
      </c>
      <c r="K4" s="85" t="s">
        <v>181</v>
      </c>
      <c r="L4" s="206" t="s">
        <v>123</v>
      </c>
      <c r="M4" s="90" t="s">
        <v>63</v>
      </c>
      <c r="N4" s="253"/>
      <c r="O4" s="262" t="s">
        <v>164</v>
      </c>
      <c r="P4" s="260" t="s">
        <v>49</v>
      </c>
      <c r="Q4" s="264" t="s">
        <v>48</v>
      </c>
      <c r="R4" s="91" t="s">
        <v>64</v>
      </c>
      <c r="S4" s="92" t="s">
        <v>63</v>
      </c>
    </row>
    <row r="5" spans="1:19" ht="67.5" customHeight="1">
      <c r="A5" s="245"/>
      <c r="B5" s="246"/>
      <c r="C5" s="247"/>
      <c r="D5" s="248"/>
      <c r="E5" s="257"/>
      <c r="F5" s="259"/>
      <c r="G5" s="261"/>
      <c r="H5" s="254"/>
      <c r="I5" s="261"/>
      <c r="J5" s="254"/>
      <c r="K5" s="265" t="s">
        <v>182</v>
      </c>
      <c r="L5" s="266"/>
      <c r="M5" s="267"/>
      <c r="N5" s="254"/>
      <c r="O5" s="263"/>
      <c r="P5" s="261"/>
      <c r="Q5" s="264"/>
      <c r="R5" s="265" t="s">
        <v>104</v>
      </c>
      <c r="S5" s="267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1298451.1</v>
      </c>
      <c r="E8" s="151">
        <f>E9+E15+E18+E19+E20+E37+E17</f>
        <v>87367.5</v>
      </c>
      <c r="F8" s="151">
        <f>F9+F15+F18+F19+F20+F37+F17</f>
        <v>25873.66</v>
      </c>
      <c r="G8" s="151">
        <f aca="true" t="shared" si="0" ref="G8:G37">F8-E8</f>
        <v>-61493.84</v>
      </c>
      <c r="H8" s="152">
        <f>F8/E8*100</f>
        <v>29.614742324090766</v>
      </c>
      <c r="I8" s="153">
        <f>F8-D8</f>
        <v>-1272577.4400000002</v>
      </c>
      <c r="J8" s="153">
        <f>F8/D8*100</f>
        <v>1.9926557111007104</v>
      </c>
      <c r="K8" s="151">
        <v>60580.63</v>
      </c>
      <c r="L8" s="151">
        <f aca="true" t="shared" si="1" ref="L8:L51">F8-K8</f>
        <v>-34706.97</v>
      </c>
      <c r="M8" s="207">
        <f aca="true" t="shared" si="2" ref="M8:M28">F8/K8</f>
        <v>0.42709460103006525</v>
      </c>
      <c r="N8" s="151">
        <f>N9+N15+N18+N19+N20+N17</f>
        <v>-708308.4299999999</v>
      </c>
      <c r="O8" s="151">
        <f>O9+O15+O18+O19+O20+O17</f>
        <v>-771745.1</v>
      </c>
      <c r="P8" s="151">
        <f>O8-N8</f>
        <v>-63436.67000000004</v>
      </c>
      <c r="Q8" s="151">
        <f>O8/N8*100</f>
        <v>108.95608005117205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80</v>
      </c>
      <c r="C9" s="43">
        <v>11010000</v>
      </c>
      <c r="D9" s="150">
        <v>766645</v>
      </c>
      <c r="E9" s="150">
        <v>47700</v>
      </c>
      <c r="F9" s="156">
        <v>14486.55</v>
      </c>
      <c r="G9" s="150">
        <f t="shared" si="0"/>
        <v>-33213.45</v>
      </c>
      <c r="H9" s="157">
        <f>F9/E9*100</f>
        <v>30.37012578616352</v>
      </c>
      <c r="I9" s="158">
        <f>F9-D9</f>
        <v>-752158.45</v>
      </c>
      <c r="J9" s="158">
        <f>F9/D9*100</f>
        <v>1.889603401835269</v>
      </c>
      <c r="K9" s="232">
        <v>30213.27</v>
      </c>
      <c r="L9" s="159">
        <f t="shared" si="1"/>
        <v>-15726.720000000001</v>
      </c>
      <c r="M9" s="208">
        <f t="shared" si="2"/>
        <v>0.4794764022563595</v>
      </c>
      <c r="N9" s="157">
        <f>E9-жовтень!E9</f>
        <v>-381423.67</v>
      </c>
      <c r="O9" s="160">
        <f>F9-жовтень!F9</f>
        <v>-416796.24</v>
      </c>
      <c r="P9" s="161">
        <f>O9-N9</f>
        <v>-35372.57000000001</v>
      </c>
      <c r="Q9" s="158">
        <f>O9/N9*100</f>
        <v>109.27382666104597</v>
      </c>
      <c r="R9" s="100"/>
      <c r="S9" s="101"/>
      <c r="T9" s="147">
        <f>D9-E9</f>
        <v>718945</v>
      </c>
    </row>
    <row r="10" spans="1:20" s="6" customFormat="1" ht="18" hidden="1">
      <c r="A10" s="8"/>
      <c r="B10" s="121" t="s">
        <v>91</v>
      </c>
      <c r="C10" s="102">
        <v>11010100</v>
      </c>
      <c r="D10" s="103">
        <v>701317</v>
      </c>
      <c r="E10" s="103">
        <v>43284</v>
      </c>
      <c r="F10" s="140">
        <v>13490.63</v>
      </c>
      <c r="G10" s="103">
        <f t="shared" si="0"/>
        <v>-29793.370000000003</v>
      </c>
      <c r="H10" s="30">
        <f aca="true" t="shared" si="3" ref="H10:H36">F10/E10*100</f>
        <v>31.167706311801126</v>
      </c>
      <c r="I10" s="104">
        <f aca="true" t="shared" si="4" ref="I10:I37">F10-D10</f>
        <v>-687826.37</v>
      </c>
      <c r="J10" s="104">
        <f aca="true" t="shared" si="5" ref="J10:J36">F10/D10*100</f>
        <v>1.9236137153384274</v>
      </c>
      <c r="K10" s="106">
        <v>26883.84</v>
      </c>
      <c r="L10" s="106">
        <f t="shared" si="1"/>
        <v>-13393.210000000001</v>
      </c>
      <c r="M10" s="209">
        <f t="shared" si="2"/>
        <v>0.5018118691377422</v>
      </c>
      <c r="N10" s="105">
        <f>E10-жовтень!E10</f>
        <v>-342866.24</v>
      </c>
      <c r="O10" s="144">
        <f>F10-жовтень!F10</f>
        <v>-365957.72</v>
      </c>
      <c r="P10" s="106">
        <f aca="true" t="shared" si="6" ref="P10:P37">O10-N10</f>
        <v>-23091.47999999998</v>
      </c>
      <c r="Q10" s="158">
        <f aca="true" t="shared" si="7" ref="Q10:Q16">O10/N10*100</f>
        <v>106.73483630234344</v>
      </c>
      <c r="R10" s="37"/>
      <c r="S10" s="94"/>
      <c r="T10" s="147">
        <f aca="true" t="shared" si="8" ref="T10:T73">D10-E10</f>
        <v>658033</v>
      </c>
    </row>
    <row r="11" spans="1:20" s="6" customFormat="1" ht="18" hidden="1">
      <c r="A11" s="8"/>
      <c r="B11" s="121" t="s">
        <v>87</v>
      </c>
      <c r="C11" s="102">
        <v>11010200</v>
      </c>
      <c r="D11" s="103">
        <v>46506</v>
      </c>
      <c r="E11" s="103">
        <v>3600</v>
      </c>
      <c r="F11" s="140">
        <v>511.2</v>
      </c>
      <c r="G11" s="103">
        <f t="shared" si="0"/>
        <v>-3088.8</v>
      </c>
      <c r="H11" s="30">
        <f t="shared" si="3"/>
        <v>14.2</v>
      </c>
      <c r="I11" s="104">
        <f t="shared" si="4"/>
        <v>-45994.8</v>
      </c>
      <c r="J11" s="104">
        <f t="shared" si="5"/>
        <v>1.0992130047735778</v>
      </c>
      <c r="K11" s="106">
        <v>2684.94</v>
      </c>
      <c r="L11" s="106">
        <f t="shared" si="1"/>
        <v>-2173.7400000000002</v>
      </c>
      <c r="M11" s="209">
        <f t="shared" si="2"/>
        <v>0.19039531609644908</v>
      </c>
      <c r="N11" s="105">
        <f>E11-жовтень!E11</f>
        <v>-19214.94</v>
      </c>
      <c r="O11" s="144">
        <f>F11-жовтень!F11</f>
        <v>-32252.899999999998</v>
      </c>
      <c r="P11" s="106">
        <f t="shared" si="6"/>
        <v>-13037.96</v>
      </c>
      <c r="Q11" s="158">
        <f t="shared" si="7"/>
        <v>167.85324336167585</v>
      </c>
      <c r="R11" s="37"/>
      <c r="S11" s="94"/>
      <c r="T11" s="147">
        <f t="shared" si="8"/>
        <v>42906</v>
      </c>
    </row>
    <row r="12" spans="1:20" s="6" customFormat="1" ht="18" hidden="1">
      <c r="A12" s="8"/>
      <c r="B12" s="121" t="s">
        <v>90</v>
      </c>
      <c r="C12" s="102">
        <v>11010400</v>
      </c>
      <c r="D12" s="103">
        <v>8280</v>
      </c>
      <c r="E12" s="103">
        <v>420</v>
      </c>
      <c r="F12" s="140">
        <v>237.91</v>
      </c>
      <c r="G12" s="103">
        <f t="shared" si="0"/>
        <v>-182.09</v>
      </c>
      <c r="H12" s="30">
        <f t="shared" si="3"/>
        <v>56.64523809523809</v>
      </c>
      <c r="I12" s="104">
        <f t="shared" si="4"/>
        <v>-8042.09</v>
      </c>
      <c r="J12" s="104">
        <f t="shared" si="5"/>
        <v>2.8733091787439613</v>
      </c>
      <c r="K12" s="106">
        <v>433.61</v>
      </c>
      <c r="L12" s="106">
        <f t="shared" si="1"/>
        <v>-195.70000000000002</v>
      </c>
      <c r="M12" s="209">
        <f t="shared" si="2"/>
        <v>0.5486727704619359</v>
      </c>
      <c r="N12" s="105">
        <f>E12-жовтень!E12</f>
        <v>-5960.61</v>
      </c>
      <c r="O12" s="144">
        <f>F12-жовтень!F12</f>
        <v>-7738.66</v>
      </c>
      <c r="P12" s="106">
        <f t="shared" si="6"/>
        <v>-1778.0500000000002</v>
      </c>
      <c r="Q12" s="158">
        <f t="shared" si="7"/>
        <v>129.83000062074183</v>
      </c>
      <c r="R12" s="37"/>
      <c r="S12" s="94"/>
      <c r="T12" s="147">
        <f t="shared" si="8"/>
        <v>7860</v>
      </c>
    </row>
    <row r="13" spans="1:20" s="6" customFormat="1" ht="18" hidden="1">
      <c r="A13" s="8"/>
      <c r="B13" s="121" t="s">
        <v>88</v>
      </c>
      <c r="C13" s="102">
        <v>11010500</v>
      </c>
      <c r="D13" s="103">
        <v>9390</v>
      </c>
      <c r="E13" s="103">
        <v>300</v>
      </c>
      <c r="F13" s="140">
        <v>146.31</v>
      </c>
      <c r="G13" s="103">
        <f t="shared" si="0"/>
        <v>-153.69</v>
      </c>
      <c r="H13" s="30">
        <f t="shared" si="3"/>
        <v>48.77</v>
      </c>
      <c r="I13" s="104">
        <f t="shared" si="4"/>
        <v>-9243.69</v>
      </c>
      <c r="J13" s="104">
        <f t="shared" si="5"/>
        <v>1.55814696485623</v>
      </c>
      <c r="K13" s="106">
        <v>209.84</v>
      </c>
      <c r="L13" s="106">
        <f t="shared" si="1"/>
        <v>-63.53</v>
      </c>
      <c r="M13" s="209">
        <f t="shared" si="2"/>
        <v>0.6972455203964926</v>
      </c>
      <c r="N13" s="105">
        <f>E13-жовтень!E13</f>
        <v>-10014.84</v>
      </c>
      <c r="O13" s="144">
        <f>F13-жовтень!F13</f>
        <v>-8203.480000000001</v>
      </c>
      <c r="P13" s="106">
        <f t="shared" si="6"/>
        <v>1811.3599999999988</v>
      </c>
      <c r="Q13" s="158">
        <f t="shared" si="7"/>
        <v>81.91324075072593</v>
      </c>
      <c r="R13" s="37"/>
      <c r="S13" s="94"/>
      <c r="T13" s="147">
        <f t="shared" si="8"/>
        <v>9090</v>
      </c>
    </row>
    <row r="14" spans="1:22" s="6" customFormat="1" ht="18" hidden="1">
      <c r="A14" s="8"/>
      <c r="B14" s="121" t="s">
        <v>89</v>
      </c>
      <c r="C14" s="102">
        <v>11010900</v>
      </c>
      <c r="D14" s="103">
        <v>1152</v>
      </c>
      <c r="E14" s="103">
        <v>96</v>
      </c>
      <c r="F14" s="140">
        <v>100.5</v>
      </c>
      <c r="G14" s="103">
        <f t="shared" si="0"/>
        <v>4.5</v>
      </c>
      <c r="H14" s="30">
        <f t="shared" si="3"/>
        <v>104.6875</v>
      </c>
      <c r="I14" s="104">
        <f t="shared" si="4"/>
        <v>-1051.5</v>
      </c>
      <c r="J14" s="104">
        <f t="shared" si="5"/>
        <v>8.723958333333332</v>
      </c>
      <c r="K14" s="106">
        <v>1.04</v>
      </c>
      <c r="L14" s="106">
        <f t="shared" si="1"/>
        <v>99.46</v>
      </c>
      <c r="M14" s="209">
        <f t="shared" si="2"/>
        <v>96.63461538461539</v>
      </c>
      <c r="N14" s="105">
        <f>E14-жовтень!E14</f>
        <v>-3367.04</v>
      </c>
      <c r="O14" s="144">
        <f>F14-жовтень!F14</f>
        <v>-2643.49</v>
      </c>
      <c r="P14" s="106">
        <f t="shared" si="6"/>
        <v>723.5500000000002</v>
      </c>
      <c r="Q14" s="158">
        <f t="shared" si="7"/>
        <v>78.51079880250902</v>
      </c>
      <c r="R14" s="37"/>
      <c r="S14" s="94"/>
      <c r="T14" s="147">
        <f t="shared" si="8"/>
        <v>1056</v>
      </c>
      <c r="U14" s="229">
        <v>2880</v>
      </c>
      <c r="V14" s="147">
        <f>U14-T14</f>
        <v>1824</v>
      </c>
    </row>
    <row r="15" spans="1:20" s="6" customFormat="1" ht="30.75">
      <c r="A15" s="8"/>
      <c r="B15" s="12" t="s">
        <v>11</v>
      </c>
      <c r="C15" s="43">
        <v>11020200</v>
      </c>
      <c r="D15" s="150">
        <v>551</v>
      </c>
      <c r="E15" s="150">
        <v>0</v>
      </c>
      <c r="F15" s="156">
        <v>40</v>
      </c>
      <c r="G15" s="150">
        <f t="shared" si="0"/>
        <v>40</v>
      </c>
      <c r="H15" s="157"/>
      <c r="I15" s="158">
        <f t="shared" si="4"/>
        <v>-511</v>
      </c>
      <c r="J15" s="158">
        <f t="shared" si="5"/>
        <v>7.259528130671507</v>
      </c>
      <c r="K15" s="161">
        <v>0</v>
      </c>
      <c r="L15" s="161">
        <f t="shared" si="1"/>
        <v>40</v>
      </c>
      <c r="M15" s="210" t="e">
        <f t="shared" si="2"/>
        <v>#DIV/0!</v>
      </c>
      <c r="N15" s="157">
        <f>E15-жовтень!E15</f>
        <v>-380</v>
      </c>
      <c r="O15" s="160">
        <f>F15-жовтень!F15</f>
        <v>-346.82</v>
      </c>
      <c r="P15" s="161">
        <f t="shared" si="6"/>
        <v>33.18000000000001</v>
      </c>
      <c r="Q15" s="158">
        <f t="shared" si="7"/>
        <v>91.26842105263158</v>
      </c>
      <c r="R15" s="37"/>
      <c r="S15" s="94"/>
      <c r="T15" s="147">
        <f t="shared" si="8"/>
        <v>551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30"/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10">
        <f t="shared" si="2"/>
        <v>0</v>
      </c>
      <c r="N16" s="157">
        <f>E16-жовтень!E16</f>
        <v>0</v>
      </c>
      <c r="O16" s="160">
        <f>F16-жовтень!F16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9">
        <f>O16/358.79</f>
        <v>0</v>
      </c>
      <c r="T16" s="147">
        <f t="shared" si="8"/>
        <v>0</v>
      </c>
    </row>
    <row r="17" spans="1:20" s="6" customFormat="1" ht="30.75" hidden="1">
      <c r="A17" s="8"/>
      <c r="B17" s="237" t="s">
        <v>142</v>
      </c>
      <c r="C17" s="120">
        <v>13010200</v>
      </c>
      <c r="D17" s="162">
        <v>0</v>
      </c>
      <c r="E17" s="162">
        <v>0</v>
      </c>
      <c r="F17" s="163">
        <v>0</v>
      </c>
      <c r="G17" s="162">
        <f t="shared" si="0"/>
        <v>0</v>
      </c>
      <c r="H17" s="164"/>
      <c r="I17" s="165">
        <f t="shared" si="4"/>
        <v>0</v>
      </c>
      <c r="J17" s="165"/>
      <c r="K17" s="167">
        <v>0.14</v>
      </c>
      <c r="L17" s="161">
        <f t="shared" si="1"/>
        <v>-0.14</v>
      </c>
      <c r="M17" s="210">
        <f t="shared" si="2"/>
        <v>0</v>
      </c>
      <c r="N17" s="157">
        <f>E17-жовтень!E17</f>
        <v>0</v>
      </c>
      <c r="O17" s="160">
        <f>F17-жовтень!F17</f>
        <v>-0.17</v>
      </c>
      <c r="P17" s="167">
        <f t="shared" si="6"/>
        <v>-0.17</v>
      </c>
      <c r="Q17" s="158"/>
      <c r="R17" s="104"/>
      <c r="S17" s="109"/>
      <c r="T17" s="147">
        <f t="shared" si="8"/>
        <v>0</v>
      </c>
    </row>
    <row r="18" spans="1:20" s="6" customFormat="1" ht="30.75">
      <c r="A18" s="8"/>
      <c r="B18" s="13" t="s">
        <v>143</v>
      </c>
      <c r="C18" s="43">
        <v>13030200</v>
      </c>
      <c r="D18" s="150">
        <v>125</v>
      </c>
      <c r="E18" s="150">
        <v>0</v>
      </c>
      <c r="F18" s="156">
        <v>0</v>
      </c>
      <c r="G18" s="150">
        <f t="shared" si="0"/>
        <v>0</v>
      </c>
      <c r="H18" s="157"/>
      <c r="I18" s="158">
        <f t="shared" si="4"/>
        <v>-125</v>
      </c>
      <c r="J18" s="158">
        <f t="shared" si="5"/>
        <v>0</v>
      </c>
      <c r="K18" s="161">
        <v>0</v>
      </c>
      <c r="L18" s="161">
        <f t="shared" si="1"/>
        <v>0</v>
      </c>
      <c r="M18" s="210" t="e">
        <f t="shared" si="2"/>
        <v>#DIV/0!</v>
      </c>
      <c r="N18" s="157">
        <f>E18-жовтень!E18</f>
        <v>-105.8</v>
      </c>
      <c r="O18" s="160">
        <f>F18-жовтень!F18</f>
        <v>-105.8</v>
      </c>
      <c r="P18" s="161">
        <f t="shared" si="6"/>
        <v>0</v>
      </c>
      <c r="Q18" s="158"/>
      <c r="R18" s="37"/>
      <c r="S18" s="94"/>
      <c r="T18" s="147">
        <f t="shared" si="8"/>
        <v>125</v>
      </c>
    </row>
    <row r="19" spans="1:20" s="6" customFormat="1" ht="46.5">
      <c r="A19" s="8"/>
      <c r="B19" s="44" t="s">
        <v>72</v>
      </c>
      <c r="C19" s="43">
        <v>14040000</v>
      </c>
      <c r="D19" s="150">
        <v>130000</v>
      </c>
      <c r="E19" s="150">
        <v>8500</v>
      </c>
      <c r="F19" s="156">
        <v>700.77</v>
      </c>
      <c r="G19" s="150">
        <f t="shared" si="0"/>
        <v>-7799.23</v>
      </c>
      <c r="H19" s="157">
        <f t="shared" si="3"/>
        <v>8.244352941176471</v>
      </c>
      <c r="I19" s="158">
        <f t="shared" si="4"/>
        <v>-129299.23</v>
      </c>
      <c r="J19" s="158">
        <f t="shared" si="5"/>
        <v>0.5390538461538461</v>
      </c>
      <c r="K19" s="169">
        <v>5560</v>
      </c>
      <c r="L19" s="161">
        <f t="shared" si="1"/>
        <v>-4859.23</v>
      </c>
      <c r="M19" s="216">
        <f t="shared" si="2"/>
        <v>0.12603776978417267</v>
      </c>
      <c r="N19" s="157">
        <f>E19-жовтень!E19</f>
        <v>-82460.4</v>
      </c>
      <c r="O19" s="160">
        <f>F19-жовтень!F19</f>
        <v>-82929.65999999999</v>
      </c>
      <c r="P19" s="161">
        <f t="shared" si="6"/>
        <v>-469.25999999999476</v>
      </c>
      <c r="Q19" s="158">
        <f aca="true" t="shared" si="9" ref="Q19:Q24">O19/N19*100</f>
        <v>100.56907315511445</v>
      </c>
      <c r="R19" s="107"/>
      <c r="S19" s="108"/>
      <c r="T19" s="147">
        <f t="shared" si="8"/>
        <v>121500</v>
      </c>
    </row>
    <row r="20" spans="1:20" s="6" customFormat="1" ht="18">
      <c r="A20" s="8"/>
      <c r="B20" s="117" t="s">
        <v>74</v>
      </c>
      <c r="C20" s="43">
        <v>18000000</v>
      </c>
      <c r="D20" s="150">
        <f>D21+D30+D32+D29</f>
        <v>401130.1</v>
      </c>
      <c r="E20" s="150">
        <f>E21+E30+E32+E29</f>
        <v>31167.5</v>
      </c>
      <c r="F20" s="228">
        <f>F21+F29+F30+F31+F32</f>
        <v>10646.34</v>
      </c>
      <c r="G20" s="150">
        <f t="shared" si="0"/>
        <v>-20521.16</v>
      </c>
      <c r="H20" s="157">
        <f t="shared" si="3"/>
        <v>34.158466351167085</v>
      </c>
      <c r="I20" s="158">
        <f t="shared" si="4"/>
        <v>-390483.75999999995</v>
      </c>
      <c r="J20" s="158">
        <f t="shared" si="5"/>
        <v>2.6540865419972226</v>
      </c>
      <c r="K20" s="158">
        <v>24797.05</v>
      </c>
      <c r="L20" s="161">
        <f t="shared" si="1"/>
        <v>-14150.71</v>
      </c>
      <c r="M20" s="211">
        <f t="shared" si="2"/>
        <v>0.4293389737892209</v>
      </c>
      <c r="N20" s="157">
        <f>N21+N30+N31+N32</f>
        <v>-243938.56</v>
      </c>
      <c r="O20" s="160">
        <f>F20-жовтень!F20</f>
        <v>-271566.41</v>
      </c>
      <c r="P20" s="161">
        <f t="shared" si="6"/>
        <v>-27627.849999999977</v>
      </c>
      <c r="Q20" s="158">
        <f t="shared" si="9"/>
        <v>111.32574120303079</v>
      </c>
      <c r="R20" s="107"/>
      <c r="S20" s="108"/>
      <c r="T20" s="147">
        <f t="shared" si="8"/>
        <v>369962.6</v>
      </c>
    </row>
    <row r="21" spans="1:20" s="6" customFormat="1" ht="18">
      <c r="A21" s="8"/>
      <c r="B21" s="44" t="s">
        <v>82</v>
      </c>
      <c r="C21" s="114">
        <v>18010000</v>
      </c>
      <c r="D21" s="150">
        <f>D22+D25+D26</f>
        <v>206621</v>
      </c>
      <c r="E21" s="150">
        <f>E22+E25+E26</f>
        <v>16745.8</v>
      </c>
      <c r="F21" s="170">
        <f>F22+F25+F26</f>
        <v>1928.38</v>
      </c>
      <c r="G21" s="150">
        <f t="shared" si="0"/>
        <v>-14817.419999999998</v>
      </c>
      <c r="H21" s="157">
        <f t="shared" si="3"/>
        <v>11.515603912622868</v>
      </c>
      <c r="I21" s="158">
        <f t="shared" si="4"/>
        <v>-204692.62</v>
      </c>
      <c r="J21" s="158">
        <f t="shared" si="5"/>
        <v>0.9332933244926702</v>
      </c>
      <c r="K21" s="158">
        <v>11899.3</v>
      </c>
      <c r="L21" s="161">
        <f t="shared" si="1"/>
        <v>-9970.919999999998</v>
      </c>
      <c r="M21" s="211">
        <f t="shared" si="2"/>
        <v>0.16205827233534748</v>
      </c>
      <c r="N21" s="157">
        <f>N22+N25+N26</f>
        <v>-132697.61000000002</v>
      </c>
      <c r="O21" s="160">
        <f>F21-жовтень!F21</f>
        <v>-151727.94</v>
      </c>
      <c r="P21" s="161">
        <f t="shared" si="6"/>
        <v>-19030.329999999987</v>
      </c>
      <c r="Q21" s="158">
        <f t="shared" si="9"/>
        <v>114.34112490797685</v>
      </c>
      <c r="R21" s="107"/>
      <c r="S21" s="108"/>
      <c r="T21" s="147">
        <f t="shared" si="8"/>
        <v>189875.2</v>
      </c>
    </row>
    <row r="22" spans="1:21" s="6" customFormat="1" ht="18">
      <c r="A22" s="8"/>
      <c r="B22" s="50" t="s">
        <v>75</v>
      </c>
      <c r="C22" s="123"/>
      <c r="D22" s="171">
        <v>22809</v>
      </c>
      <c r="E22" s="171">
        <v>4150</v>
      </c>
      <c r="F22" s="172">
        <v>388.75</v>
      </c>
      <c r="G22" s="171">
        <f t="shared" si="0"/>
        <v>-3761.25</v>
      </c>
      <c r="H22" s="173">
        <f t="shared" si="3"/>
        <v>9.367469879518072</v>
      </c>
      <c r="I22" s="174">
        <f t="shared" si="4"/>
        <v>-22420.25</v>
      </c>
      <c r="J22" s="174">
        <f t="shared" si="5"/>
        <v>1.7043710815906004</v>
      </c>
      <c r="K22" s="175">
        <v>3049.6</v>
      </c>
      <c r="L22" s="166">
        <f t="shared" si="1"/>
        <v>-2660.85</v>
      </c>
      <c r="M22" s="219">
        <f t="shared" si="2"/>
        <v>0.12747573452256034</v>
      </c>
      <c r="N22" s="173">
        <f>E22-жовтень!E22</f>
        <v>-13174.400000000001</v>
      </c>
      <c r="O22" s="176">
        <f>F22-жовтень!F22</f>
        <v>-19832.64</v>
      </c>
      <c r="P22" s="177">
        <f t="shared" si="6"/>
        <v>-6658.239999999998</v>
      </c>
      <c r="Q22" s="174">
        <f t="shared" si="9"/>
        <v>150.53922759290742</v>
      </c>
      <c r="R22" s="107"/>
      <c r="S22" s="108"/>
      <c r="T22" s="147">
        <f t="shared" si="8"/>
        <v>18659</v>
      </c>
      <c r="U22" s="147"/>
    </row>
    <row r="23" spans="1:21" s="6" customFormat="1" ht="18" hidden="1">
      <c r="A23" s="8"/>
      <c r="B23" s="196" t="s">
        <v>112</v>
      </c>
      <c r="C23" s="197"/>
      <c r="D23" s="200">
        <v>1822.3</v>
      </c>
      <c r="E23" s="200">
        <v>140</v>
      </c>
      <c r="F23" s="163">
        <v>9.3</v>
      </c>
      <c r="G23" s="200">
        <f t="shared" si="0"/>
        <v>-130.7</v>
      </c>
      <c r="H23" s="201">
        <f t="shared" si="3"/>
        <v>6.642857142857143</v>
      </c>
      <c r="I23" s="202">
        <f t="shared" si="4"/>
        <v>-1813</v>
      </c>
      <c r="J23" s="202">
        <f t="shared" si="5"/>
        <v>0.5103440706799101</v>
      </c>
      <c r="K23" s="202">
        <v>128.1</v>
      </c>
      <c r="L23" s="202">
        <f t="shared" si="1"/>
        <v>-118.8</v>
      </c>
      <c r="M23" s="233">
        <f t="shared" si="2"/>
        <v>0.07259953161592507</v>
      </c>
      <c r="N23" s="201">
        <f>E23-жовтень!E23</f>
        <v>-1084.4</v>
      </c>
      <c r="O23" s="201">
        <f>F23-жовтень!F23</f>
        <v>-786.24</v>
      </c>
      <c r="P23" s="202">
        <f t="shared" si="6"/>
        <v>298.1600000000001</v>
      </c>
      <c r="Q23" s="202">
        <f t="shared" si="9"/>
        <v>72.50461084470675</v>
      </c>
      <c r="R23" s="107"/>
      <c r="S23" s="108"/>
      <c r="T23" s="147">
        <f t="shared" si="8"/>
        <v>1682.3</v>
      </c>
      <c r="U23" s="147"/>
    </row>
    <row r="24" spans="1:21" s="6" customFormat="1" ht="18" hidden="1">
      <c r="A24" s="8"/>
      <c r="B24" s="196" t="s">
        <v>113</v>
      </c>
      <c r="C24" s="197"/>
      <c r="D24" s="200">
        <v>20986.7</v>
      </c>
      <c r="E24" s="200">
        <v>4010</v>
      </c>
      <c r="F24" s="163">
        <v>379.45</v>
      </c>
      <c r="G24" s="200">
        <f t="shared" si="0"/>
        <v>-3630.55</v>
      </c>
      <c r="H24" s="201">
        <f t="shared" si="3"/>
        <v>9.462593516209477</v>
      </c>
      <c r="I24" s="202">
        <f t="shared" si="4"/>
        <v>-20607.25</v>
      </c>
      <c r="J24" s="202">
        <f t="shared" si="5"/>
        <v>1.8080498601495232</v>
      </c>
      <c r="K24" s="202">
        <v>2921.5</v>
      </c>
      <c r="L24" s="202">
        <f t="shared" si="1"/>
        <v>-2542.05</v>
      </c>
      <c r="M24" s="233">
        <f t="shared" si="2"/>
        <v>0.12988190997775115</v>
      </c>
      <c r="N24" s="201">
        <f>E24-жовтень!E24</f>
        <v>-12090</v>
      </c>
      <c r="O24" s="201">
        <f>F24-жовтень!F24</f>
        <v>-19046.399999999998</v>
      </c>
      <c r="P24" s="202">
        <f t="shared" si="6"/>
        <v>-6956.399999999998</v>
      </c>
      <c r="Q24" s="202">
        <f t="shared" si="9"/>
        <v>157.53846153846152</v>
      </c>
      <c r="R24" s="107"/>
      <c r="S24" s="108"/>
      <c r="T24" s="147">
        <f t="shared" si="8"/>
        <v>16976.7</v>
      </c>
      <c r="U24" s="147"/>
    </row>
    <row r="25" spans="1:20" s="6" customFormat="1" ht="18">
      <c r="A25" s="8"/>
      <c r="B25" s="50" t="s">
        <v>76</v>
      </c>
      <c r="C25" s="123"/>
      <c r="D25" s="171">
        <v>820</v>
      </c>
      <c r="E25" s="171">
        <v>45.8</v>
      </c>
      <c r="F25" s="172">
        <v>75</v>
      </c>
      <c r="G25" s="171">
        <f t="shared" si="0"/>
        <v>29.200000000000003</v>
      </c>
      <c r="H25" s="173">
        <f t="shared" si="3"/>
        <v>163.75545851528386</v>
      </c>
      <c r="I25" s="174">
        <f t="shared" si="4"/>
        <v>-745</v>
      </c>
      <c r="J25" s="174">
        <f t="shared" si="5"/>
        <v>9.146341463414634</v>
      </c>
      <c r="K25" s="174">
        <v>156.87</v>
      </c>
      <c r="L25" s="174">
        <f t="shared" si="1"/>
        <v>-81.87</v>
      </c>
      <c r="M25" s="214">
        <f t="shared" si="2"/>
        <v>0.47810288774144194</v>
      </c>
      <c r="N25" s="173">
        <f>E25-жовтень!E25</f>
        <v>-934.24</v>
      </c>
      <c r="O25" s="176">
        <f>F25-жовтень!F25</f>
        <v>-735.29</v>
      </c>
      <c r="P25" s="177">
        <f t="shared" si="6"/>
        <v>198.95000000000005</v>
      </c>
      <c r="Q25" s="174"/>
      <c r="R25" s="107"/>
      <c r="S25" s="108"/>
      <c r="T25" s="147">
        <f t="shared" si="8"/>
        <v>774.2</v>
      </c>
    </row>
    <row r="26" spans="1:20" s="6" customFormat="1" ht="18">
      <c r="A26" s="8"/>
      <c r="B26" s="50" t="s">
        <v>77</v>
      </c>
      <c r="C26" s="123"/>
      <c r="D26" s="171">
        <v>182992</v>
      </c>
      <c r="E26" s="171">
        <v>12550</v>
      </c>
      <c r="F26" s="172">
        <v>1464.63</v>
      </c>
      <c r="G26" s="171">
        <f t="shared" si="0"/>
        <v>-11085.369999999999</v>
      </c>
      <c r="H26" s="173">
        <f t="shared" si="3"/>
        <v>11.670358565737054</v>
      </c>
      <c r="I26" s="174">
        <f t="shared" si="4"/>
        <v>-181527.37</v>
      </c>
      <c r="J26" s="174">
        <f t="shared" si="5"/>
        <v>0.8003792515519805</v>
      </c>
      <c r="K26" s="175">
        <v>8692.83</v>
      </c>
      <c r="L26" s="175">
        <f t="shared" si="1"/>
        <v>-7228.2</v>
      </c>
      <c r="M26" s="213">
        <f t="shared" si="2"/>
        <v>0.16848713249885253</v>
      </c>
      <c r="N26" s="173">
        <f>E26-жовтень!E26</f>
        <v>-118588.97</v>
      </c>
      <c r="O26" s="176">
        <f>F26-жовтень!F26</f>
        <v>-131160.01</v>
      </c>
      <c r="P26" s="177">
        <f t="shared" si="6"/>
        <v>-12571.040000000008</v>
      </c>
      <c r="Q26" s="174">
        <f>O26/N26*100</f>
        <v>110.60051369026984</v>
      </c>
      <c r="R26" s="107"/>
      <c r="S26" s="108"/>
      <c r="T26" s="147">
        <f t="shared" si="8"/>
        <v>170442</v>
      </c>
    </row>
    <row r="27" spans="1:20" s="6" customFormat="1" ht="18" hidden="1">
      <c r="A27" s="8"/>
      <c r="B27" s="196" t="s">
        <v>114</v>
      </c>
      <c r="C27" s="197"/>
      <c r="D27" s="200">
        <v>57533</v>
      </c>
      <c r="E27" s="200">
        <v>3530</v>
      </c>
      <c r="F27" s="163">
        <v>207.93</v>
      </c>
      <c r="G27" s="200">
        <f t="shared" si="0"/>
        <v>-3322.07</v>
      </c>
      <c r="H27" s="201">
        <f t="shared" si="3"/>
        <v>5.890368271954674</v>
      </c>
      <c r="I27" s="202">
        <f t="shared" si="4"/>
        <v>-57325.07</v>
      </c>
      <c r="J27" s="202">
        <f t="shared" si="5"/>
        <v>0.36140997340656666</v>
      </c>
      <c r="K27" s="202">
        <v>2454.05</v>
      </c>
      <c r="L27" s="202">
        <f t="shared" si="1"/>
        <v>-2246.1200000000003</v>
      </c>
      <c r="M27" s="233">
        <f t="shared" si="2"/>
        <v>0.08472932499337829</v>
      </c>
      <c r="N27" s="201">
        <f>E27-жовтень!E27</f>
        <v>-36871.8</v>
      </c>
      <c r="O27" s="201">
        <f>F27-жовтень!F27</f>
        <v>-41798.35</v>
      </c>
      <c r="P27" s="202">
        <f t="shared" si="6"/>
        <v>-4926.549999999996</v>
      </c>
      <c r="Q27" s="202">
        <f>O27/N27*100</f>
        <v>113.36129508187828</v>
      </c>
      <c r="R27" s="107"/>
      <c r="S27" s="108"/>
      <c r="T27" s="147">
        <f t="shared" si="8"/>
        <v>54003</v>
      </c>
    </row>
    <row r="28" spans="1:20" s="6" customFormat="1" ht="18" hidden="1">
      <c r="A28" s="8"/>
      <c r="B28" s="196" t="s">
        <v>115</v>
      </c>
      <c r="C28" s="197"/>
      <c r="D28" s="200">
        <v>125459</v>
      </c>
      <c r="E28" s="200">
        <v>9020</v>
      </c>
      <c r="F28" s="163">
        <v>1256.7</v>
      </c>
      <c r="G28" s="200">
        <f t="shared" si="0"/>
        <v>-7763.3</v>
      </c>
      <c r="H28" s="201">
        <f t="shared" si="3"/>
        <v>13.932372505543238</v>
      </c>
      <c r="I28" s="202">
        <f t="shared" si="4"/>
        <v>-124202.3</v>
      </c>
      <c r="J28" s="202">
        <f t="shared" si="5"/>
        <v>1.00168182434102</v>
      </c>
      <c r="K28" s="202">
        <v>6238.78</v>
      </c>
      <c r="L28" s="202">
        <f t="shared" si="1"/>
        <v>-4982.08</v>
      </c>
      <c r="M28" s="233">
        <f t="shared" si="2"/>
        <v>0.20143361362317636</v>
      </c>
      <c r="N28" s="201">
        <f>E28-жовтень!E28</f>
        <v>-81717.17</v>
      </c>
      <c r="O28" s="201">
        <f>F28-жовтень!F28</f>
        <v>-89361.66</v>
      </c>
      <c r="P28" s="202">
        <f t="shared" si="6"/>
        <v>-7644.490000000005</v>
      </c>
      <c r="Q28" s="202">
        <f>O28/N28*100</f>
        <v>109.35481490609624</v>
      </c>
      <c r="R28" s="107"/>
      <c r="S28" s="108"/>
      <c r="T28" s="147">
        <f t="shared" si="8"/>
        <v>116439</v>
      </c>
    </row>
    <row r="29" spans="1:20" s="6" customFormat="1" ht="18">
      <c r="A29" s="8"/>
      <c r="B29" s="230" t="s">
        <v>125</v>
      </c>
      <c r="C29" s="227">
        <v>18020000</v>
      </c>
      <c r="D29" s="162">
        <v>0</v>
      </c>
      <c r="E29" s="162">
        <v>0</v>
      </c>
      <c r="F29" s="201">
        <v>0.2</v>
      </c>
      <c r="G29" s="150">
        <f t="shared" si="0"/>
        <v>0.2</v>
      </c>
      <c r="H29" s="157"/>
      <c r="I29" s="158">
        <f t="shared" si="4"/>
        <v>0.2</v>
      </c>
      <c r="J29" s="158"/>
      <c r="K29" s="167">
        <v>0</v>
      </c>
      <c r="L29" s="158">
        <f t="shared" si="1"/>
        <v>0.2</v>
      </c>
      <c r="M29" s="212"/>
      <c r="N29" s="157">
        <f>E29-жовтень!E29</f>
        <v>0</v>
      </c>
      <c r="O29" s="160">
        <f>F29-жовтень!F29</f>
        <v>0.05000000000000002</v>
      </c>
      <c r="P29" s="161">
        <f t="shared" si="6"/>
        <v>0.05000000000000002</v>
      </c>
      <c r="Q29" s="158"/>
      <c r="R29" s="107"/>
      <c r="S29" s="108"/>
      <c r="T29" s="147">
        <f t="shared" si="8"/>
        <v>0</v>
      </c>
    </row>
    <row r="30" spans="1:20" s="6" customFormat="1" ht="18">
      <c r="A30" s="8"/>
      <c r="B30" s="44" t="s">
        <v>83</v>
      </c>
      <c r="C30" s="114">
        <v>18030000</v>
      </c>
      <c r="D30" s="150">
        <v>115</v>
      </c>
      <c r="E30" s="150">
        <v>3</v>
      </c>
      <c r="F30" s="156">
        <v>0</v>
      </c>
      <c r="G30" s="150">
        <f t="shared" si="0"/>
        <v>-3</v>
      </c>
      <c r="H30" s="157">
        <f t="shared" si="3"/>
        <v>0</v>
      </c>
      <c r="I30" s="158">
        <f t="shared" si="4"/>
        <v>-115</v>
      </c>
      <c r="J30" s="158">
        <f t="shared" si="5"/>
        <v>0</v>
      </c>
      <c r="K30" s="158">
        <v>2.61</v>
      </c>
      <c r="L30" s="158">
        <f t="shared" si="1"/>
        <v>-2.61</v>
      </c>
      <c r="M30" s="212">
        <f>F30/K30</f>
        <v>0</v>
      </c>
      <c r="N30" s="157">
        <f>E30-жовтень!E30</f>
        <v>-59.81</v>
      </c>
      <c r="O30" s="160">
        <f>F30-жовтень!F30</f>
        <v>-96.18</v>
      </c>
      <c r="P30" s="161">
        <f t="shared" si="6"/>
        <v>-36.370000000000005</v>
      </c>
      <c r="Q30" s="158">
        <f>O30/N30*100</f>
        <v>160.80922922588198</v>
      </c>
      <c r="R30" s="107"/>
      <c r="S30" s="108"/>
      <c r="T30" s="147">
        <f t="shared" si="8"/>
        <v>112</v>
      </c>
    </row>
    <row r="31" spans="1:20" s="6" customFormat="1" ht="49.5" customHeight="1">
      <c r="A31" s="8"/>
      <c r="B31" s="230" t="s">
        <v>84</v>
      </c>
      <c r="C31" s="114">
        <v>18040000</v>
      </c>
      <c r="D31" s="150"/>
      <c r="E31" s="150"/>
      <c r="F31" s="156">
        <v>0.58</v>
      </c>
      <c r="G31" s="150">
        <f t="shared" si="0"/>
        <v>0.58</v>
      </c>
      <c r="H31" s="157"/>
      <c r="I31" s="158">
        <f t="shared" si="4"/>
        <v>0.58</v>
      </c>
      <c r="J31" s="158"/>
      <c r="K31" s="158">
        <v>-772.87</v>
      </c>
      <c r="L31" s="158">
        <f t="shared" si="1"/>
        <v>773.45</v>
      </c>
      <c r="M31" s="212">
        <f>F31/K31</f>
        <v>-0.0007504496228343705</v>
      </c>
      <c r="N31" s="157">
        <f>E31-жовтень!E31</f>
        <v>0</v>
      </c>
      <c r="O31" s="160">
        <f>F31-жовтень!F31</f>
        <v>173.65</v>
      </c>
      <c r="P31" s="161">
        <f t="shared" si="6"/>
        <v>173.65</v>
      </c>
      <c r="Q31" s="158"/>
      <c r="R31" s="107"/>
      <c r="S31" s="108"/>
      <c r="T31" s="147">
        <f t="shared" si="8"/>
        <v>0</v>
      </c>
    </row>
    <row r="32" spans="1:20" s="6" customFormat="1" ht="18">
      <c r="A32" s="8"/>
      <c r="B32" s="44" t="s">
        <v>85</v>
      </c>
      <c r="C32" s="114">
        <v>18050000</v>
      </c>
      <c r="D32" s="162">
        <v>194394.1</v>
      </c>
      <c r="E32" s="162">
        <v>14418.7</v>
      </c>
      <c r="F32" s="163">
        <v>8717.18</v>
      </c>
      <c r="G32" s="162">
        <f t="shared" si="0"/>
        <v>-5701.52</v>
      </c>
      <c r="H32" s="164">
        <f t="shared" si="3"/>
        <v>60.45746149098046</v>
      </c>
      <c r="I32" s="165">
        <f t="shared" si="4"/>
        <v>-185676.92</v>
      </c>
      <c r="J32" s="165">
        <f t="shared" si="5"/>
        <v>4.484282187576681</v>
      </c>
      <c r="K32" s="178">
        <v>12895.5</v>
      </c>
      <c r="L32" s="178">
        <f>F32-K32</f>
        <v>-4178.32</v>
      </c>
      <c r="M32" s="231">
        <f>F32/K32</f>
        <v>0.6759861967352953</v>
      </c>
      <c r="N32" s="157">
        <f>E32-жовтень!E32</f>
        <v>-111181.14</v>
      </c>
      <c r="O32" s="160">
        <f>F32-жовтень!F32</f>
        <v>-119915.98999999999</v>
      </c>
      <c r="P32" s="167">
        <f t="shared" si="6"/>
        <v>-8734.849999999991</v>
      </c>
      <c r="Q32" s="165">
        <f>O32/N32*100</f>
        <v>107.85641341687986</v>
      </c>
      <c r="R32" s="107"/>
      <c r="S32" s="108"/>
      <c r="T32" s="147">
        <f t="shared" si="8"/>
        <v>179975.4</v>
      </c>
    </row>
    <row r="33" spans="1:20" s="6" customFormat="1" ht="15" hidden="1">
      <c r="A33" s="8"/>
      <c r="B33" s="50" t="s">
        <v>92</v>
      </c>
      <c r="C33" s="102">
        <v>18050200</v>
      </c>
      <c r="D33" s="103">
        <v>0</v>
      </c>
      <c r="E33" s="103">
        <v>0</v>
      </c>
      <c r="F33" s="140">
        <v>0</v>
      </c>
      <c r="G33" s="103">
        <f t="shared" si="0"/>
        <v>0</v>
      </c>
      <c r="H33" s="105"/>
      <c r="I33" s="104">
        <f t="shared" si="4"/>
        <v>0</v>
      </c>
      <c r="J33" s="104"/>
      <c r="K33" s="127">
        <v>0</v>
      </c>
      <c r="L33" s="127">
        <f t="shared" si="1"/>
        <v>0</v>
      </c>
      <c r="M33" s="221" t="e">
        <f aca="true" t="shared" si="10" ref="M33:M39">F33/K33</f>
        <v>#DIV/0!</v>
      </c>
      <c r="N33" s="105">
        <f>E33-жовтень!E33</f>
        <v>0</v>
      </c>
      <c r="O33" s="144">
        <f>F33-жовтень!F33</f>
        <v>-0.23</v>
      </c>
      <c r="P33" s="106">
        <f t="shared" si="6"/>
        <v>-0.23</v>
      </c>
      <c r="Q33" s="104"/>
      <c r="R33" s="107"/>
      <c r="S33" s="108"/>
      <c r="T33" s="147">
        <f t="shared" si="8"/>
        <v>0</v>
      </c>
    </row>
    <row r="34" spans="1:20" s="6" customFormat="1" ht="15" hidden="1">
      <c r="A34" s="8"/>
      <c r="B34" s="50" t="s">
        <v>93</v>
      </c>
      <c r="C34" s="102">
        <v>18050300</v>
      </c>
      <c r="D34" s="103">
        <v>41000</v>
      </c>
      <c r="E34" s="103">
        <v>2600</v>
      </c>
      <c r="F34" s="140">
        <v>1410.18</v>
      </c>
      <c r="G34" s="103">
        <f t="shared" si="0"/>
        <v>-1189.82</v>
      </c>
      <c r="H34" s="105">
        <f t="shared" si="3"/>
        <v>54.237692307692306</v>
      </c>
      <c r="I34" s="104">
        <f t="shared" si="4"/>
        <v>-39589.82</v>
      </c>
      <c r="J34" s="104">
        <f t="shared" si="5"/>
        <v>3.4394634146341465</v>
      </c>
      <c r="K34" s="127">
        <v>2155.98</v>
      </c>
      <c r="L34" s="127">
        <f t="shared" si="1"/>
        <v>-745.8</v>
      </c>
      <c r="M34" s="221">
        <f t="shared" si="10"/>
        <v>0.6540784237330588</v>
      </c>
      <c r="N34" s="105">
        <f>E34-жовтень!E34</f>
        <v>-28062.97</v>
      </c>
      <c r="O34" s="144">
        <f>F34-жовтень!F34</f>
        <v>-30165.86</v>
      </c>
      <c r="P34" s="106">
        <f t="shared" si="6"/>
        <v>-2102.8899999999994</v>
      </c>
      <c r="Q34" s="104">
        <f>O34/N34*100</f>
        <v>107.49346915169707</v>
      </c>
      <c r="R34" s="107"/>
      <c r="S34" s="108"/>
      <c r="T34" s="147">
        <f t="shared" si="8"/>
        <v>38400</v>
      </c>
    </row>
    <row r="35" spans="1:20" s="6" customFormat="1" ht="15" hidden="1">
      <c r="A35" s="8"/>
      <c r="B35" s="50" t="s">
        <v>94</v>
      </c>
      <c r="C35" s="102">
        <v>18050400</v>
      </c>
      <c r="D35" s="103">
        <v>153339.1</v>
      </c>
      <c r="E35" s="103">
        <v>11800</v>
      </c>
      <c r="F35" s="140">
        <v>7307</v>
      </c>
      <c r="G35" s="103">
        <f t="shared" si="0"/>
        <v>-4493</v>
      </c>
      <c r="H35" s="105">
        <f t="shared" si="3"/>
        <v>61.92372881355932</v>
      </c>
      <c r="I35" s="104">
        <f t="shared" si="4"/>
        <v>-146032.1</v>
      </c>
      <c r="J35" s="104">
        <f t="shared" si="5"/>
        <v>4.76525556756235</v>
      </c>
      <c r="K35" s="127">
        <v>10736.34</v>
      </c>
      <c r="L35" s="127">
        <f t="shared" si="1"/>
        <v>-3429.34</v>
      </c>
      <c r="M35" s="221">
        <f t="shared" si="10"/>
        <v>0.6805857489610053</v>
      </c>
      <c r="N35" s="105">
        <f>E35-жовтень!E35</f>
        <v>-83120.08</v>
      </c>
      <c r="O35" s="144">
        <f>F35-жовтень!F35</f>
        <v>-89696.82</v>
      </c>
      <c r="P35" s="106">
        <f t="shared" si="6"/>
        <v>-6576.740000000005</v>
      </c>
      <c r="Q35" s="104">
        <f>O35/N35*100</f>
        <v>107.9123359842772</v>
      </c>
      <c r="R35" s="107"/>
      <c r="S35" s="108"/>
      <c r="T35" s="147">
        <f t="shared" si="8"/>
        <v>141539.1</v>
      </c>
    </row>
    <row r="36" spans="1:20" s="6" customFormat="1" ht="15" hidden="1">
      <c r="A36" s="8"/>
      <c r="B36" s="50" t="s">
        <v>95</v>
      </c>
      <c r="C36" s="102">
        <v>18050500</v>
      </c>
      <c r="D36" s="103">
        <v>55</v>
      </c>
      <c r="E36" s="103">
        <v>18.7</v>
      </c>
      <c r="F36" s="140">
        <v>0</v>
      </c>
      <c r="G36" s="103">
        <f t="shared" si="0"/>
        <v>-18.7</v>
      </c>
      <c r="H36" s="105">
        <f t="shared" si="3"/>
        <v>0</v>
      </c>
      <c r="I36" s="104">
        <f t="shared" si="4"/>
        <v>-55</v>
      </c>
      <c r="J36" s="104">
        <f t="shared" si="5"/>
        <v>0</v>
      </c>
      <c r="K36" s="127">
        <v>3.19</v>
      </c>
      <c r="L36" s="127">
        <f t="shared" si="1"/>
        <v>-3.19</v>
      </c>
      <c r="M36" s="221">
        <f t="shared" si="10"/>
        <v>0</v>
      </c>
      <c r="N36" s="105">
        <f>E36-жовтень!E36</f>
        <v>1.9100000000000001</v>
      </c>
      <c r="O36" s="144">
        <f>F36-жовтень!F36</f>
        <v>-53.08</v>
      </c>
      <c r="P36" s="106">
        <f t="shared" si="6"/>
        <v>-54.989999999999995</v>
      </c>
      <c r="Q36" s="104"/>
      <c r="R36" s="107"/>
      <c r="S36" s="108"/>
      <c r="T36" s="147">
        <f t="shared" si="8"/>
        <v>36.3</v>
      </c>
    </row>
    <row r="37" spans="1:20" s="6" customFormat="1" ht="15" customHeight="1" hidden="1">
      <c r="A37" s="8"/>
      <c r="B37" s="237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 t="shared" si="0"/>
        <v>0</v>
      </c>
      <c r="H37" s="30"/>
      <c r="I37" s="37">
        <f t="shared" si="4"/>
        <v>0</v>
      </c>
      <c r="J37" s="37"/>
      <c r="K37" s="119">
        <v>9.9</v>
      </c>
      <c r="L37" s="119">
        <f t="shared" si="1"/>
        <v>-9.9</v>
      </c>
      <c r="M37" s="222">
        <f t="shared" si="10"/>
        <v>0</v>
      </c>
      <c r="N37" s="137">
        <f>E37-жовтень!E37</f>
        <v>0</v>
      </c>
      <c r="O37" s="145">
        <f>F37-жовтень!F37</f>
        <v>0</v>
      </c>
      <c r="P37" s="36">
        <f t="shared" si="6"/>
        <v>0</v>
      </c>
      <c r="Q37" s="37"/>
      <c r="R37" s="107"/>
      <c r="S37" s="108"/>
      <c r="T37" s="147">
        <f t="shared" si="8"/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59025</v>
      </c>
      <c r="E38" s="151">
        <f>E39+E40+E41+E42+E43+E45+E47+E48+E49+E50+E51+E56+E57+E61+E44</f>
        <v>1987.8</v>
      </c>
      <c r="F38" s="151">
        <f>F39+F40+F41+F42+F43+F45+F47+F48+F49+F50+F51+F56+F57+F61+F44</f>
        <v>1519.92</v>
      </c>
      <c r="G38" s="151">
        <f>G39+G40+G41+G42+G43+G45+G47+G48+G49+G50+G51+G56+G57+G61</f>
        <v>-461.08000000000004</v>
      </c>
      <c r="H38" s="152">
        <f>F38/E38*100</f>
        <v>76.46242076667673</v>
      </c>
      <c r="I38" s="153">
        <f>F38-D38</f>
        <v>-57505.08</v>
      </c>
      <c r="J38" s="153">
        <f>F38/D38*100</f>
        <v>2.5750444726810673</v>
      </c>
      <c r="K38" s="151">
        <v>2030.96</v>
      </c>
      <c r="L38" s="151">
        <f t="shared" si="1"/>
        <v>-511.03999999999996</v>
      </c>
      <c r="M38" s="207">
        <f t="shared" si="10"/>
        <v>0.7483751526371766</v>
      </c>
      <c r="N38" s="151">
        <f>N39+N40+N41+N42+N43+N45+N47+N48+N49+N50+N51+N56+N57+N61+N44</f>
        <v>-53307.229999999996</v>
      </c>
      <c r="O38" s="151">
        <f>O39+O40+O41+O42+O43+O45+O47+O48+O49+O50+O51+O56+O57+O61+O44</f>
        <v>-53497.80999999999</v>
      </c>
      <c r="P38" s="151">
        <f>P39+P40+P41+P42+P43+P45+P47+P48+P49+P50+P51+P56+P57+P61</f>
        <v>-149.83000000000044</v>
      </c>
      <c r="Q38" s="151">
        <f>O38/N38*100</f>
        <v>100.35751248001444</v>
      </c>
      <c r="R38" s="15" t="e">
        <f>#N/A</f>
        <v>#N/A</v>
      </c>
      <c r="S38" s="15" t="e">
        <f>#N/A</f>
        <v>#N/A</v>
      </c>
      <c r="T38" s="147">
        <f t="shared" si="8"/>
        <v>57037.2</v>
      </c>
    </row>
    <row r="39" spans="1:20" s="6" customFormat="1" ht="46.5">
      <c r="A39" s="8"/>
      <c r="B39" s="44" t="s">
        <v>100</v>
      </c>
      <c r="C39" s="43">
        <v>21010301</v>
      </c>
      <c r="D39" s="150">
        <v>580</v>
      </c>
      <c r="E39" s="150">
        <v>0</v>
      </c>
      <c r="F39" s="156">
        <v>0</v>
      </c>
      <c r="G39" s="162">
        <f>F39-E39</f>
        <v>0</v>
      </c>
      <c r="H39" s="164"/>
      <c r="I39" s="165">
        <f>F39-D39</f>
        <v>-580</v>
      </c>
      <c r="J39" s="165">
        <f>F39/D39*100</f>
        <v>0</v>
      </c>
      <c r="K39" s="165">
        <v>4.71</v>
      </c>
      <c r="L39" s="165">
        <f t="shared" si="1"/>
        <v>-4.71</v>
      </c>
      <c r="M39" s="223">
        <f t="shared" si="10"/>
        <v>0</v>
      </c>
      <c r="N39" s="164">
        <f>E39-жовтень!E39</f>
        <v>-386</v>
      </c>
      <c r="O39" s="168">
        <f>F39-жовтень!F39</f>
        <v>-484.83</v>
      </c>
      <c r="P39" s="167">
        <f>O39-N39</f>
        <v>-98.82999999999998</v>
      </c>
      <c r="Q39" s="165">
        <f aca="true" t="shared" si="11" ref="Q39:Q62">O39/N39*100</f>
        <v>125.60362694300518</v>
      </c>
      <c r="R39" s="37"/>
      <c r="S39" s="94"/>
      <c r="T39" s="147">
        <f t="shared" si="8"/>
        <v>580</v>
      </c>
    </row>
    <row r="40" spans="1:20" s="6" customFormat="1" ht="30.75">
      <c r="A40" s="8"/>
      <c r="B40" s="129" t="s">
        <v>78</v>
      </c>
      <c r="C40" s="42">
        <v>21050000</v>
      </c>
      <c r="D40" s="150">
        <v>30000</v>
      </c>
      <c r="E40" s="150">
        <v>0</v>
      </c>
      <c r="F40" s="156">
        <v>0</v>
      </c>
      <c r="G40" s="162">
        <f aca="true" t="shared" si="12" ref="G40:G63">F40-E40</f>
        <v>0</v>
      </c>
      <c r="H40" s="164"/>
      <c r="I40" s="165">
        <f aca="true" t="shared" si="13" ref="I40:I63">F40-D40</f>
        <v>-30000</v>
      </c>
      <c r="J40" s="165">
        <f>F40/D40*100</f>
        <v>0</v>
      </c>
      <c r="K40" s="165">
        <v>0</v>
      </c>
      <c r="L40" s="165">
        <f t="shared" si="1"/>
        <v>0</v>
      </c>
      <c r="M40" s="223"/>
      <c r="N40" s="164">
        <f>E40-жовтень!E40</f>
        <v>-27766</v>
      </c>
      <c r="O40" s="168">
        <f>F40-жовтень!F40</f>
        <v>-27670.12</v>
      </c>
      <c r="P40" s="167">
        <f aca="true" t="shared" si="14" ref="P40:P63">O40-N40</f>
        <v>95.88000000000102</v>
      </c>
      <c r="Q40" s="165">
        <f t="shared" si="11"/>
        <v>99.65468558668876</v>
      </c>
      <c r="R40" s="37"/>
      <c r="S40" s="94"/>
      <c r="T40" s="147">
        <f t="shared" si="8"/>
        <v>30000</v>
      </c>
    </row>
    <row r="41" spans="1:20" s="6" customFormat="1" ht="18">
      <c r="A41" s="8"/>
      <c r="B41" s="129" t="s">
        <v>61</v>
      </c>
      <c r="C41" s="42">
        <v>21080500</v>
      </c>
      <c r="D41" s="150">
        <v>40</v>
      </c>
      <c r="E41" s="150">
        <v>10</v>
      </c>
      <c r="F41" s="156">
        <v>0</v>
      </c>
      <c r="G41" s="162">
        <f t="shared" si="12"/>
        <v>-10</v>
      </c>
      <c r="H41" s="164">
        <f aca="true" t="shared" si="15" ref="H41:H62">F41/E41*100</f>
        <v>0</v>
      </c>
      <c r="I41" s="165">
        <f t="shared" si="13"/>
        <v>-40</v>
      </c>
      <c r="J41" s="165">
        <f aca="true" t="shared" si="16" ref="J41:J62">F41/D41*100</f>
        <v>0</v>
      </c>
      <c r="K41" s="165">
        <v>17.84</v>
      </c>
      <c r="L41" s="165">
        <f t="shared" si="1"/>
        <v>-17.84</v>
      </c>
      <c r="M41" s="223">
        <f aca="true" t="shared" si="17" ref="M41:M63">F41/K41</f>
        <v>0</v>
      </c>
      <c r="N41" s="164">
        <f>E41-жовтень!E41</f>
        <v>-101.44</v>
      </c>
      <c r="O41" s="168">
        <f>F41-жовтень!F41</f>
        <v>-31.98</v>
      </c>
      <c r="P41" s="167">
        <f t="shared" si="14"/>
        <v>69.46</v>
      </c>
      <c r="Q41" s="165"/>
      <c r="R41" s="37"/>
      <c r="S41" s="94"/>
      <c r="T41" s="147">
        <f t="shared" si="8"/>
        <v>30</v>
      </c>
    </row>
    <row r="42" spans="1:20" s="6" customFormat="1" ht="31.5" hidden="1">
      <c r="A42" s="8"/>
      <c r="B42" s="238" t="s">
        <v>39</v>
      </c>
      <c r="C42" s="71">
        <v>21080900</v>
      </c>
      <c r="D42" s="150">
        <f>6.5-6.5</f>
        <v>0</v>
      </c>
      <c r="E42" s="150">
        <v>0</v>
      </c>
      <c r="F42" s="156">
        <v>0</v>
      </c>
      <c r="G42" s="162">
        <f t="shared" si="12"/>
        <v>0</v>
      </c>
      <c r="H42" s="164"/>
      <c r="I42" s="165">
        <f t="shared" si="13"/>
        <v>0</v>
      </c>
      <c r="J42" s="165"/>
      <c r="K42" s="165">
        <v>1.02</v>
      </c>
      <c r="L42" s="165">
        <f t="shared" si="1"/>
        <v>-1.02</v>
      </c>
      <c r="M42" s="223">
        <f t="shared" si="17"/>
        <v>0</v>
      </c>
      <c r="N42" s="164">
        <f>E42-жовтень!E42</f>
        <v>0</v>
      </c>
      <c r="O42" s="168">
        <f>F42-жовтень!F42</f>
        <v>-0.1</v>
      </c>
      <c r="P42" s="167">
        <f t="shared" si="14"/>
        <v>-0.1</v>
      </c>
      <c r="Q42" s="165"/>
      <c r="R42" s="37"/>
      <c r="S42" s="94"/>
      <c r="T42" s="147">
        <f t="shared" si="8"/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260</v>
      </c>
      <c r="E43" s="150">
        <v>20</v>
      </c>
      <c r="F43" s="156">
        <v>4.71</v>
      </c>
      <c r="G43" s="162">
        <f t="shared" si="12"/>
        <v>-15.29</v>
      </c>
      <c r="H43" s="164">
        <f t="shared" si="15"/>
        <v>23.549999999999997</v>
      </c>
      <c r="I43" s="165">
        <f t="shared" si="13"/>
        <v>-255.29</v>
      </c>
      <c r="J43" s="165">
        <f t="shared" si="16"/>
        <v>1.8115384615384618</v>
      </c>
      <c r="K43" s="165">
        <v>-6.4</v>
      </c>
      <c r="L43" s="165">
        <f t="shared" si="1"/>
        <v>11.11</v>
      </c>
      <c r="M43" s="223">
        <f t="shared" si="17"/>
        <v>-0.7359374999999999</v>
      </c>
      <c r="N43" s="164">
        <f>E43-жовтень!E43</f>
        <v>-80</v>
      </c>
      <c r="O43" s="168">
        <f>F43-жовтень!F43</f>
        <v>-202.97</v>
      </c>
      <c r="P43" s="167">
        <f t="shared" si="14"/>
        <v>-122.97</v>
      </c>
      <c r="Q43" s="165">
        <f t="shared" si="11"/>
        <v>253.7125</v>
      </c>
      <c r="R43" s="37"/>
      <c r="S43" s="94"/>
      <c r="T43" s="147">
        <f t="shared" si="8"/>
        <v>240</v>
      </c>
    </row>
    <row r="44" spans="1:20" s="6" customFormat="1" ht="46.5">
      <c r="A44" s="8"/>
      <c r="B44" s="130" t="s">
        <v>81</v>
      </c>
      <c r="C44" s="72">
        <v>21081500</v>
      </c>
      <c r="D44" s="150">
        <v>97.5</v>
      </c>
      <c r="E44" s="150">
        <v>6.8</v>
      </c>
      <c r="F44" s="156">
        <v>0</v>
      </c>
      <c r="G44" s="162">
        <f t="shared" si="12"/>
        <v>-6.8</v>
      </c>
      <c r="H44" s="164"/>
      <c r="I44" s="165">
        <f t="shared" si="13"/>
        <v>-97.5</v>
      </c>
      <c r="J44" s="165"/>
      <c r="K44" s="165">
        <v>0</v>
      </c>
      <c r="L44" s="165">
        <f t="shared" si="1"/>
        <v>0</v>
      </c>
      <c r="M44" s="223"/>
      <c r="N44" s="164">
        <f>E44-жовтень!E44</f>
        <v>-7.2</v>
      </c>
      <c r="O44" s="168">
        <f>F44-жовтень!F44</f>
        <v>-47.95</v>
      </c>
      <c r="P44" s="167"/>
      <c r="Q44" s="165"/>
      <c r="R44" s="37"/>
      <c r="S44" s="94"/>
      <c r="T44" s="147">
        <f t="shared" si="8"/>
        <v>90.7</v>
      </c>
    </row>
    <row r="45" spans="1:20" s="6" customFormat="1" ht="30.75">
      <c r="A45" s="8"/>
      <c r="B45" s="148" t="s">
        <v>108</v>
      </c>
      <c r="C45" s="49">
        <v>22010300</v>
      </c>
      <c r="D45" s="150">
        <v>730</v>
      </c>
      <c r="E45" s="150">
        <v>60</v>
      </c>
      <c r="F45" s="156">
        <v>40.03</v>
      </c>
      <c r="G45" s="162">
        <f t="shared" si="12"/>
        <v>-19.97</v>
      </c>
      <c r="H45" s="164">
        <f t="shared" si="15"/>
        <v>66.71666666666667</v>
      </c>
      <c r="I45" s="165">
        <f t="shared" si="13"/>
        <v>-689.97</v>
      </c>
      <c r="J45" s="165">
        <f t="shared" si="16"/>
        <v>5.483561643835617</v>
      </c>
      <c r="K45" s="165">
        <v>0</v>
      </c>
      <c r="L45" s="165">
        <f t="shared" si="1"/>
        <v>40.03</v>
      </c>
      <c r="M45" s="223"/>
      <c r="N45" s="164">
        <f>E45-жовтень!E45</f>
        <v>-212</v>
      </c>
      <c r="O45" s="168">
        <f>F45-жовтень!F45</f>
        <v>-490.99</v>
      </c>
      <c r="P45" s="167">
        <f t="shared" si="14"/>
        <v>-278.99</v>
      </c>
      <c r="Q45" s="165">
        <f t="shared" si="11"/>
        <v>231.5990566037736</v>
      </c>
      <c r="R45" s="37"/>
      <c r="S45" s="94"/>
      <c r="T45" s="147">
        <f t="shared" si="8"/>
        <v>670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 t="shared" si="1"/>
        <v>0</v>
      </c>
      <c r="M46" s="223" t="e">
        <f t="shared" si="17"/>
        <v>#DIV/0!</v>
      </c>
      <c r="N46" s="164">
        <f>E46-жовтень!E46</f>
        <v>0</v>
      </c>
      <c r="O46" s="168">
        <f>F46-жовтень!F46</f>
        <v>0</v>
      </c>
      <c r="P46" s="167"/>
      <c r="Q46" s="165"/>
      <c r="R46" s="37"/>
      <c r="S46" s="94"/>
      <c r="T46" s="147">
        <f t="shared" si="8"/>
        <v>0</v>
      </c>
    </row>
    <row r="47" spans="1:20" s="6" customFormat="1" ht="18">
      <c r="A47" s="8"/>
      <c r="B47" s="33" t="s">
        <v>79</v>
      </c>
      <c r="C47" s="72">
        <v>22012500</v>
      </c>
      <c r="D47" s="150">
        <v>11000</v>
      </c>
      <c r="E47" s="150">
        <v>600</v>
      </c>
      <c r="F47" s="156">
        <v>501.71</v>
      </c>
      <c r="G47" s="162">
        <f t="shared" si="12"/>
        <v>-98.29000000000002</v>
      </c>
      <c r="H47" s="164">
        <f t="shared" si="15"/>
        <v>83.61833333333333</v>
      </c>
      <c r="I47" s="165">
        <f t="shared" si="13"/>
        <v>-10498.29</v>
      </c>
      <c r="J47" s="165">
        <f t="shared" si="16"/>
        <v>4.561</v>
      </c>
      <c r="K47" s="165">
        <v>539.02</v>
      </c>
      <c r="L47" s="165">
        <f t="shared" si="1"/>
        <v>-37.31</v>
      </c>
      <c r="M47" s="223">
        <f t="shared" si="17"/>
        <v>0.9307817891729435</v>
      </c>
      <c r="N47" s="164">
        <f>E47-жовтень!E47</f>
        <v>-8149.02</v>
      </c>
      <c r="O47" s="168">
        <f>F47-жовтень!F47</f>
        <v>-8374.53</v>
      </c>
      <c r="P47" s="167">
        <f t="shared" si="14"/>
        <v>-225.51000000000022</v>
      </c>
      <c r="Q47" s="165">
        <f t="shared" si="11"/>
        <v>102.76732662332404</v>
      </c>
      <c r="R47" s="37"/>
      <c r="S47" s="94"/>
      <c r="T47" s="147">
        <f t="shared" si="8"/>
        <v>10400</v>
      </c>
    </row>
    <row r="48" spans="1:20" s="6" customFormat="1" ht="31.5">
      <c r="A48" s="8"/>
      <c r="B48" s="149" t="s">
        <v>101</v>
      </c>
      <c r="C48" s="72">
        <v>22012600</v>
      </c>
      <c r="D48" s="150">
        <v>310</v>
      </c>
      <c r="E48" s="150">
        <v>25</v>
      </c>
      <c r="F48" s="156">
        <v>19.33</v>
      </c>
      <c r="G48" s="162">
        <f t="shared" si="12"/>
        <v>-5.670000000000002</v>
      </c>
      <c r="H48" s="164">
        <f t="shared" si="15"/>
        <v>77.32</v>
      </c>
      <c r="I48" s="165">
        <f t="shared" si="13"/>
        <v>-290.67</v>
      </c>
      <c r="J48" s="165">
        <f t="shared" si="16"/>
        <v>6.235483870967742</v>
      </c>
      <c r="K48" s="165">
        <v>1.03</v>
      </c>
      <c r="L48" s="165">
        <f t="shared" si="1"/>
        <v>18.299999999999997</v>
      </c>
      <c r="M48" s="223"/>
      <c r="N48" s="164">
        <f>E48-жовтень!E48</f>
        <v>-625</v>
      </c>
      <c r="O48" s="168">
        <f>F48-жовтень!F48</f>
        <v>-227.2</v>
      </c>
      <c r="P48" s="167">
        <f t="shared" si="14"/>
        <v>397.8</v>
      </c>
      <c r="Q48" s="165"/>
      <c r="R48" s="37"/>
      <c r="S48" s="94"/>
      <c r="T48" s="147">
        <f t="shared" si="8"/>
        <v>285</v>
      </c>
    </row>
    <row r="49" spans="1:20" s="6" customFormat="1" ht="31.5">
      <c r="A49" s="8"/>
      <c r="B49" s="149" t="s">
        <v>109</v>
      </c>
      <c r="C49" s="72">
        <v>22012900</v>
      </c>
      <c r="D49" s="150">
        <v>20</v>
      </c>
      <c r="E49" s="150">
        <v>1</v>
      </c>
      <c r="F49" s="156">
        <v>0</v>
      </c>
      <c r="G49" s="162">
        <f t="shared" si="12"/>
        <v>-1</v>
      </c>
      <c r="H49" s="164">
        <f t="shared" si="15"/>
        <v>0</v>
      </c>
      <c r="I49" s="165">
        <f t="shared" si="13"/>
        <v>-20</v>
      </c>
      <c r="J49" s="165">
        <f t="shared" si="16"/>
        <v>0</v>
      </c>
      <c r="K49" s="165">
        <v>0</v>
      </c>
      <c r="L49" s="165">
        <f t="shared" si="1"/>
        <v>0</v>
      </c>
      <c r="M49" s="223"/>
      <c r="N49" s="164">
        <f>E49-жовтень!E49</f>
        <v>-35</v>
      </c>
      <c r="O49" s="168">
        <f>F49-жовтень!F49</f>
        <v>-16.96</v>
      </c>
      <c r="P49" s="167">
        <f t="shared" si="14"/>
        <v>18.04</v>
      </c>
      <c r="Q49" s="165">
        <f t="shared" si="11"/>
        <v>48.45714285714286</v>
      </c>
      <c r="R49" s="37"/>
      <c r="S49" s="94"/>
      <c r="T49" s="147">
        <f t="shared" si="8"/>
        <v>19</v>
      </c>
    </row>
    <row r="50" spans="1:20" s="6" customFormat="1" ht="30.75">
      <c r="A50" s="8"/>
      <c r="B50" s="130" t="s">
        <v>14</v>
      </c>
      <c r="C50" s="49">
        <v>22080400</v>
      </c>
      <c r="D50" s="150">
        <v>7275</v>
      </c>
      <c r="E50" s="150">
        <v>600</v>
      </c>
      <c r="F50" s="156">
        <v>684.99</v>
      </c>
      <c r="G50" s="162">
        <f t="shared" si="12"/>
        <v>84.99000000000001</v>
      </c>
      <c r="H50" s="164">
        <f t="shared" si="15"/>
        <v>114.165</v>
      </c>
      <c r="I50" s="165">
        <f t="shared" si="13"/>
        <v>-6590.01</v>
      </c>
      <c r="J50" s="165">
        <f t="shared" si="16"/>
        <v>9.415670103092785</v>
      </c>
      <c r="K50" s="165">
        <v>716.23</v>
      </c>
      <c r="L50" s="165">
        <f t="shared" si="1"/>
        <v>-31.24000000000001</v>
      </c>
      <c r="M50" s="223">
        <f t="shared" si="17"/>
        <v>0.9563827262192313</v>
      </c>
      <c r="N50" s="164">
        <f>E50-жовтень!E50</f>
        <v>-5966.23</v>
      </c>
      <c r="O50" s="168">
        <f>F50-жовтень!F50</f>
        <v>-5508.95</v>
      </c>
      <c r="P50" s="167">
        <f t="shared" si="14"/>
        <v>457.27999999999975</v>
      </c>
      <c r="Q50" s="165">
        <f t="shared" si="11"/>
        <v>92.33552846604975</v>
      </c>
      <c r="R50" s="37"/>
      <c r="S50" s="94"/>
      <c r="T50" s="147">
        <f t="shared" si="8"/>
        <v>6675</v>
      </c>
    </row>
    <row r="51" spans="1:20" s="6" customFormat="1" ht="18">
      <c r="A51" s="8"/>
      <c r="B51" s="130" t="s">
        <v>15</v>
      </c>
      <c r="C51" s="43">
        <v>22090000</v>
      </c>
      <c r="D51" s="150">
        <v>1200</v>
      </c>
      <c r="E51" s="150">
        <v>55</v>
      </c>
      <c r="F51" s="156">
        <v>19</v>
      </c>
      <c r="G51" s="162">
        <f t="shared" si="12"/>
        <v>-36</v>
      </c>
      <c r="H51" s="164">
        <f t="shared" si="15"/>
        <v>34.54545454545455</v>
      </c>
      <c r="I51" s="165">
        <f t="shared" si="13"/>
        <v>-1181</v>
      </c>
      <c r="J51" s="165">
        <f t="shared" si="16"/>
        <v>1.5833333333333335</v>
      </c>
      <c r="K51" s="165">
        <v>408.2</v>
      </c>
      <c r="L51" s="165">
        <f t="shared" si="1"/>
        <v>-389.2</v>
      </c>
      <c r="M51" s="223">
        <f t="shared" si="17"/>
        <v>0.04654581087702107</v>
      </c>
      <c r="N51" s="164">
        <f>E51-жовтень!E51</f>
        <v>-5411.19</v>
      </c>
      <c r="O51" s="168">
        <f>F51-жовтень!F51</f>
        <v>-4991.53</v>
      </c>
      <c r="P51" s="167">
        <f t="shared" si="14"/>
        <v>419.65999999999985</v>
      </c>
      <c r="Q51" s="165">
        <f t="shared" si="11"/>
        <v>92.2445894525973</v>
      </c>
      <c r="R51" s="37"/>
      <c r="S51" s="94"/>
      <c r="T51" s="147">
        <f t="shared" si="8"/>
        <v>1145</v>
      </c>
    </row>
    <row r="52" spans="1:20" s="6" customFormat="1" ht="15" hidden="1">
      <c r="A52" s="8"/>
      <c r="B52" s="50" t="s">
        <v>99</v>
      </c>
      <c r="C52" s="123">
        <v>22090100</v>
      </c>
      <c r="D52" s="103">
        <v>998</v>
      </c>
      <c r="E52" s="103">
        <v>40</v>
      </c>
      <c r="F52" s="140">
        <v>15.8</v>
      </c>
      <c r="G52" s="34">
        <f t="shared" si="12"/>
        <v>-24.2</v>
      </c>
      <c r="H52" s="30">
        <f t="shared" si="15"/>
        <v>39.5</v>
      </c>
      <c r="I52" s="104">
        <f t="shared" si="13"/>
        <v>-982.2</v>
      </c>
      <c r="J52" s="104">
        <f t="shared" si="16"/>
        <v>1.5831663326653307</v>
      </c>
      <c r="K52" s="104">
        <v>25.99</v>
      </c>
      <c r="L52" s="104">
        <f>F52-K52</f>
        <v>-10.189999999999998</v>
      </c>
      <c r="M52" s="109">
        <f t="shared" si="17"/>
        <v>0.6079261254328588</v>
      </c>
      <c r="N52" s="105">
        <f>E52-жовтень!E52</f>
        <v>-698.99</v>
      </c>
      <c r="O52" s="144">
        <f>F52-жовтень!F52</f>
        <v>-686.5</v>
      </c>
      <c r="P52" s="106">
        <f t="shared" si="14"/>
        <v>12.490000000000009</v>
      </c>
      <c r="Q52" s="119">
        <f t="shared" si="11"/>
        <v>98.21313609636762</v>
      </c>
      <c r="R52" s="37"/>
      <c r="S52" s="94"/>
      <c r="T52" s="147">
        <f t="shared" si="8"/>
        <v>958</v>
      </c>
    </row>
    <row r="53" spans="1:20" s="6" customFormat="1" ht="15" hidden="1">
      <c r="A53" s="8"/>
      <c r="B53" s="50" t="s">
        <v>96</v>
      </c>
      <c r="C53" s="123">
        <v>22090200</v>
      </c>
      <c r="D53" s="103">
        <v>1</v>
      </c>
      <c r="E53" s="103">
        <v>0</v>
      </c>
      <c r="F53" s="140">
        <v>0.01</v>
      </c>
      <c r="G53" s="34">
        <f t="shared" si="12"/>
        <v>0.01</v>
      </c>
      <c r="H53" s="30" t="e">
        <f t="shared" si="15"/>
        <v>#DIV/0!</v>
      </c>
      <c r="I53" s="104">
        <f t="shared" si="13"/>
        <v>-0.99</v>
      </c>
      <c r="J53" s="104">
        <f t="shared" si="16"/>
        <v>1</v>
      </c>
      <c r="K53" s="104">
        <v>0.04</v>
      </c>
      <c r="L53" s="104">
        <f>F53-K53</f>
        <v>-0.03</v>
      </c>
      <c r="M53" s="109">
        <f t="shared" si="17"/>
        <v>0.25</v>
      </c>
      <c r="N53" s="105">
        <f>E53-жовтень!E53</f>
        <v>-5.04</v>
      </c>
      <c r="O53" s="144">
        <f>F53-жовтень!F53</f>
        <v>-0.27999999999999997</v>
      </c>
      <c r="P53" s="106">
        <f t="shared" si="14"/>
        <v>4.76</v>
      </c>
      <c r="Q53" s="119">
        <f t="shared" si="11"/>
        <v>5.555555555555555</v>
      </c>
      <c r="R53" s="37"/>
      <c r="S53" s="94"/>
      <c r="T53" s="147">
        <f t="shared" si="8"/>
        <v>1</v>
      </c>
    </row>
    <row r="54" spans="1:20" s="6" customFormat="1" ht="15" hidden="1">
      <c r="A54" s="8"/>
      <c r="B54" s="50" t="s">
        <v>97</v>
      </c>
      <c r="C54" s="123">
        <v>22090300</v>
      </c>
      <c r="D54" s="103">
        <v>1</v>
      </c>
      <c r="E54" s="103">
        <v>0</v>
      </c>
      <c r="F54" s="140">
        <v>0</v>
      </c>
      <c r="G54" s="34">
        <f t="shared" si="12"/>
        <v>0</v>
      </c>
      <c r="H54" s="30"/>
      <c r="I54" s="104">
        <f t="shared" si="13"/>
        <v>-1</v>
      </c>
      <c r="J54" s="104">
        <f t="shared" si="16"/>
        <v>0</v>
      </c>
      <c r="K54" s="104">
        <v>0</v>
      </c>
      <c r="L54" s="104">
        <f>F54-K54</f>
        <v>0</v>
      </c>
      <c r="M54" s="109" t="e">
        <f t="shared" si="17"/>
        <v>#DIV/0!</v>
      </c>
      <c r="N54" s="105">
        <f>E54-жовтень!E54</f>
        <v>0</v>
      </c>
      <c r="O54" s="144">
        <f>F54-жовтень!F54</f>
        <v>-0.02</v>
      </c>
      <c r="P54" s="106">
        <f t="shared" si="14"/>
        <v>-0.02</v>
      </c>
      <c r="Q54" s="119"/>
      <c r="R54" s="37"/>
      <c r="S54" s="94"/>
      <c r="T54" s="147">
        <f t="shared" si="8"/>
        <v>1</v>
      </c>
    </row>
    <row r="55" spans="1:20" s="6" customFormat="1" ht="15" hidden="1">
      <c r="A55" s="8"/>
      <c r="B55" s="50" t="s">
        <v>98</v>
      </c>
      <c r="C55" s="123">
        <v>22090400</v>
      </c>
      <c r="D55" s="103">
        <v>200</v>
      </c>
      <c r="E55" s="103">
        <v>15</v>
      </c>
      <c r="F55" s="140">
        <v>3.18</v>
      </c>
      <c r="G55" s="34">
        <f t="shared" si="12"/>
        <v>-11.82</v>
      </c>
      <c r="H55" s="30">
        <f t="shared" si="15"/>
        <v>21.200000000000003</v>
      </c>
      <c r="I55" s="104">
        <f t="shared" si="13"/>
        <v>-196.82</v>
      </c>
      <c r="J55" s="104">
        <f t="shared" si="16"/>
        <v>1.59</v>
      </c>
      <c r="K55" s="104">
        <v>382.17</v>
      </c>
      <c r="L55" s="104">
        <f>F55-K55</f>
        <v>-378.99</v>
      </c>
      <c r="M55" s="109">
        <f t="shared" si="17"/>
        <v>0.00832090430960044</v>
      </c>
      <c r="N55" s="105">
        <f>E55-жовтень!E55</f>
        <v>-4707.17</v>
      </c>
      <c r="O55" s="144">
        <f>F55-жовтень!F55</f>
        <v>-4304.74</v>
      </c>
      <c r="P55" s="106">
        <f t="shared" si="14"/>
        <v>402.4300000000003</v>
      </c>
      <c r="Q55" s="119">
        <f t="shared" si="11"/>
        <v>91.4507018017195</v>
      </c>
      <c r="R55" s="37"/>
      <c r="S55" s="94"/>
      <c r="T55" s="147">
        <f t="shared" si="8"/>
        <v>185</v>
      </c>
    </row>
    <row r="56" spans="1:20" s="6" customFormat="1" ht="46.5">
      <c r="A56" s="8"/>
      <c r="B56" s="13" t="s">
        <v>17</v>
      </c>
      <c r="C56" s="11" t="s">
        <v>18</v>
      </c>
      <c r="D56" s="150">
        <v>2.5</v>
      </c>
      <c r="E56" s="150">
        <v>0</v>
      </c>
      <c r="F56" s="156">
        <v>0</v>
      </c>
      <c r="G56" s="162">
        <f t="shared" si="12"/>
        <v>0</v>
      </c>
      <c r="H56" s="164"/>
      <c r="I56" s="165">
        <f t="shared" si="13"/>
        <v>-2.5</v>
      </c>
      <c r="J56" s="165">
        <f t="shared" si="16"/>
        <v>0</v>
      </c>
      <c r="K56" s="165">
        <v>0.17</v>
      </c>
      <c r="L56" s="165">
        <f>F56-K56</f>
        <v>-0.17</v>
      </c>
      <c r="M56" s="223">
        <f t="shared" si="17"/>
        <v>0</v>
      </c>
      <c r="N56" s="164">
        <f>E56-жовтень!E56</f>
        <v>-0.17</v>
      </c>
      <c r="O56" s="168">
        <f>F56-жовтень!F56</f>
        <v>-2.46</v>
      </c>
      <c r="P56" s="167">
        <f t="shared" si="14"/>
        <v>-2.29</v>
      </c>
      <c r="Q56" s="165"/>
      <c r="R56" s="37"/>
      <c r="S56" s="94"/>
      <c r="T56" s="147">
        <f t="shared" si="8"/>
        <v>2.5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7350</v>
      </c>
      <c r="E57" s="150">
        <v>600</v>
      </c>
      <c r="F57" s="156">
        <v>250.15</v>
      </c>
      <c r="G57" s="162">
        <f t="shared" si="12"/>
        <v>-349.85</v>
      </c>
      <c r="H57" s="164">
        <f t="shared" si="15"/>
        <v>41.69166666666666</v>
      </c>
      <c r="I57" s="165">
        <f t="shared" si="13"/>
        <v>-7099.85</v>
      </c>
      <c r="J57" s="165">
        <f t="shared" si="16"/>
        <v>3.4034013605442177</v>
      </c>
      <c r="K57" s="165">
        <v>317.98</v>
      </c>
      <c r="L57" s="165">
        <f aca="true" t="shared" si="18" ref="L57:L63">F57-K57</f>
        <v>-67.83000000000001</v>
      </c>
      <c r="M57" s="223">
        <f t="shared" si="17"/>
        <v>0.7866846971507642</v>
      </c>
      <c r="N57" s="164">
        <f>E57-жовтень!E57</f>
        <v>-4477.98</v>
      </c>
      <c r="O57" s="168">
        <f>F57-жовтень!F57</f>
        <v>-5288.31</v>
      </c>
      <c r="P57" s="167">
        <f t="shared" si="14"/>
        <v>-810.3300000000008</v>
      </c>
      <c r="Q57" s="165">
        <f t="shared" si="11"/>
        <v>118.09588251845699</v>
      </c>
      <c r="R57" s="37"/>
      <c r="S57" s="94"/>
      <c r="T57" s="147">
        <f t="shared" si="8"/>
        <v>6750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 t="shared" si="12"/>
        <v>0</v>
      </c>
      <c r="H58" s="164" t="e">
        <f t="shared" si="15"/>
        <v>#DIV/0!</v>
      </c>
      <c r="I58" s="165">
        <f t="shared" si="13"/>
        <v>0</v>
      </c>
      <c r="J58" s="165" t="e">
        <f t="shared" si="16"/>
        <v>#DIV/0!</v>
      </c>
      <c r="K58" s="165"/>
      <c r="L58" s="165">
        <f t="shared" si="18"/>
        <v>0</v>
      </c>
      <c r="M58" s="223" t="e">
        <f t="shared" si="17"/>
        <v>#DIV/0!</v>
      </c>
      <c r="N58" s="164">
        <f>E58-жовтень!E58</f>
        <v>0</v>
      </c>
      <c r="O58" s="168">
        <f>F58-вересень!F58</f>
        <v>0</v>
      </c>
      <c r="P58" s="167">
        <f t="shared" si="14"/>
        <v>0</v>
      </c>
      <c r="Q58" s="165" t="e">
        <f t="shared" si="11"/>
        <v>#DIV/0!</v>
      </c>
      <c r="R58" s="37"/>
      <c r="S58" s="94"/>
      <c r="T58" s="147">
        <f t="shared" si="8"/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3">
        <v>102.92</v>
      </c>
      <c r="G59" s="162"/>
      <c r="H59" s="164"/>
      <c r="I59" s="165"/>
      <c r="J59" s="165"/>
      <c r="K59" s="166">
        <v>70.16</v>
      </c>
      <c r="L59" s="165">
        <f t="shared" si="18"/>
        <v>32.760000000000005</v>
      </c>
      <c r="M59" s="223">
        <f t="shared" si="17"/>
        <v>1.466932725199544</v>
      </c>
      <c r="N59" s="164"/>
      <c r="O59" s="179">
        <f>F59-жовтень!F59</f>
        <v>-1033.9499999999998</v>
      </c>
      <c r="P59" s="166"/>
      <c r="Q59" s="165"/>
      <c r="R59" s="37"/>
      <c r="S59" s="94"/>
      <c r="T59" s="147">
        <f t="shared" si="8"/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 t="shared" si="12"/>
        <v>0</v>
      </c>
      <c r="H60" s="164"/>
      <c r="I60" s="165">
        <f t="shared" si="13"/>
        <v>0</v>
      </c>
      <c r="J60" s="165"/>
      <c r="K60" s="166"/>
      <c r="L60" s="165">
        <f t="shared" si="18"/>
        <v>0</v>
      </c>
      <c r="M60" s="223" t="e">
        <f t="shared" si="17"/>
        <v>#DIV/0!</v>
      </c>
      <c r="N60" s="164">
        <f>E60-вересень!E60</f>
        <v>0</v>
      </c>
      <c r="O60" s="168">
        <f>F60-вересень!F60</f>
        <v>0</v>
      </c>
      <c r="P60" s="167">
        <f t="shared" si="14"/>
        <v>0</v>
      </c>
      <c r="Q60" s="165"/>
      <c r="R60" s="37"/>
      <c r="S60" s="94"/>
      <c r="T60" s="147">
        <f t="shared" si="8"/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160</v>
      </c>
      <c r="E61" s="150">
        <v>10</v>
      </c>
      <c r="F61" s="156">
        <v>0</v>
      </c>
      <c r="G61" s="162">
        <f t="shared" si="12"/>
        <v>-10</v>
      </c>
      <c r="H61" s="164">
        <f t="shared" si="15"/>
        <v>0</v>
      </c>
      <c r="I61" s="165">
        <f t="shared" si="13"/>
        <v>-160</v>
      </c>
      <c r="J61" s="165">
        <f t="shared" si="16"/>
        <v>0</v>
      </c>
      <c r="K61" s="165">
        <v>32.19</v>
      </c>
      <c r="L61" s="165">
        <f t="shared" si="18"/>
        <v>-32.19</v>
      </c>
      <c r="M61" s="223">
        <f t="shared" si="17"/>
        <v>0</v>
      </c>
      <c r="N61" s="164">
        <f>E61-жовтень!E61</f>
        <v>-90</v>
      </c>
      <c r="O61" s="168">
        <f>F61-жовтень!F61</f>
        <v>-158.93</v>
      </c>
      <c r="P61" s="167">
        <f t="shared" si="14"/>
        <v>-68.93</v>
      </c>
      <c r="Q61" s="165"/>
      <c r="R61" s="37"/>
      <c r="S61" s="94"/>
      <c r="T61" s="147">
        <f t="shared" si="8"/>
        <v>150</v>
      </c>
    </row>
    <row r="62" spans="1:20" s="6" customFormat="1" ht="30.75">
      <c r="A62" s="8"/>
      <c r="B62" s="12" t="s">
        <v>44</v>
      </c>
      <c r="C62" s="43">
        <v>31010200</v>
      </c>
      <c r="D62" s="150">
        <v>15</v>
      </c>
      <c r="E62" s="150">
        <v>1.2</v>
      </c>
      <c r="F62" s="156">
        <v>1.07</v>
      </c>
      <c r="G62" s="162">
        <f t="shared" si="12"/>
        <v>-0.1299999999999999</v>
      </c>
      <c r="H62" s="164">
        <f t="shared" si="15"/>
        <v>89.16666666666667</v>
      </c>
      <c r="I62" s="165">
        <f t="shared" si="13"/>
        <v>-13.93</v>
      </c>
      <c r="J62" s="165">
        <f t="shared" si="16"/>
        <v>7.133333333333333</v>
      </c>
      <c r="K62" s="165">
        <v>1</v>
      </c>
      <c r="L62" s="165">
        <f t="shared" si="18"/>
        <v>0.07000000000000006</v>
      </c>
      <c r="M62" s="223">
        <f t="shared" si="17"/>
        <v>1.07</v>
      </c>
      <c r="N62" s="164">
        <f>E62-жовтень!E62</f>
        <v>-20.2</v>
      </c>
      <c r="O62" s="168">
        <f>F62-жовтень!F62</f>
        <v>-12.45</v>
      </c>
      <c r="P62" s="167">
        <f t="shared" si="14"/>
        <v>7.75</v>
      </c>
      <c r="Q62" s="165">
        <f t="shared" si="11"/>
        <v>61.633663366336634</v>
      </c>
      <c r="R62" s="37"/>
      <c r="S62" s="94"/>
      <c r="T62" s="147">
        <f t="shared" si="8"/>
        <v>13.8</v>
      </c>
    </row>
    <row r="63" spans="1:20" s="6" customFormat="1" ht="30.75" hidden="1">
      <c r="A63" s="8"/>
      <c r="B63" s="239" t="s">
        <v>57</v>
      </c>
      <c r="C63" s="43">
        <v>31020000</v>
      </c>
      <c r="D63" s="150">
        <v>0</v>
      </c>
      <c r="E63" s="150">
        <v>0</v>
      </c>
      <c r="F63" s="156">
        <v>0</v>
      </c>
      <c r="G63" s="162">
        <f t="shared" si="12"/>
        <v>0</v>
      </c>
      <c r="H63" s="164"/>
      <c r="I63" s="165">
        <f t="shared" si="13"/>
        <v>0</v>
      </c>
      <c r="J63" s="165"/>
      <c r="K63" s="165">
        <v>0.54</v>
      </c>
      <c r="L63" s="165">
        <f t="shared" si="18"/>
        <v>-0.54</v>
      </c>
      <c r="M63" s="223">
        <f t="shared" si="17"/>
        <v>0</v>
      </c>
      <c r="N63" s="164">
        <f>E63-жовтень!E63</f>
        <v>-0.2</v>
      </c>
      <c r="O63" s="168">
        <f>F63-жовтень!F63</f>
        <v>-1.02</v>
      </c>
      <c r="P63" s="167">
        <f t="shared" si="14"/>
        <v>-0.8200000000000001</v>
      </c>
      <c r="Q63" s="165"/>
      <c r="R63" s="37"/>
      <c r="S63" s="94"/>
      <c r="T63" s="147">
        <f t="shared" si="8"/>
        <v>0</v>
      </c>
    </row>
    <row r="64" spans="1:21" s="6" customFormat="1" ht="18">
      <c r="A64" s="9"/>
      <c r="B64" s="14" t="s">
        <v>28</v>
      </c>
      <c r="C64" s="62"/>
      <c r="D64" s="151">
        <f>D8+D38+D62+D63</f>
        <v>1357491.1</v>
      </c>
      <c r="E64" s="151">
        <f>E8+E38+E62+E63</f>
        <v>89356.5</v>
      </c>
      <c r="F64" s="151">
        <f>F8+F38+F62+F63</f>
        <v>27394.65</v>
      </c>
      <c r="G64" s="151">
        <f>F64-E64</f>
        <v>-61961.85</v>
      </c>
      <c r="H64" s="152">
        <f>F64/E64*100</f>
        <v>30.65770257339981</v>
      </c>
      <c r="I64" s="153">
        <f>F64-D64</f>
        <v>-1330096.4500000002</v>
      </c>
      <c r="J64" s="153">
        <f>F64/D64*100</f>
        <v>2.0180353300290514</v>
      </c>
      <c r="K64" s="153">
        <v>62612.59</v>
      </c>
      <c r="L64" s="153">
        <f>F64-K64</f>
        <v>-35217.939999999995</v>
      </c>
      <c r="M64" s="224">
        <f>F64/K64</f>
        <v>0.437526222761269</v>
      </c>
      <c r="N64" s="151">
        <f>N8+N38+N62+N63</f>
        <v>-761636.0599999998</v>
      </c>
      <c r="O64" s="151">
        <f>O8+O38+O62+O63</f>
        <v>-825256.3799999999</v>
      </c>
      <c r="P64" s="155">
        <f>O64-N64</f>
        <v>-63620.320000000065</v>
      </c>
      <c r="Q64" s="153">
        <f>O64/N64*100</f>
        <v>108.35311290276881</v>
      </c>
      <c r="R64" s="27">
        <f>O64-34768</f>
        <v>-860024.3799999999</v>
      </c>
      <c r="S64" s="115">
        <f>O64/34768</f>
        <v>-23.73609008283479</v>
      </c>
      <c r="T64" s="147">
        <f t="shared" si="8"/>
        <v>1268134.6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 t="shared" si="8"/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 t="shared" si="8"/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 t="shared" si="8"/>
        <v>0</v>
      </c>
    </row>
    <row r="68" spans="2:20" ht="15">
      <c r="B68" s="22" t="s">
        <v>111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 t="shared" si="8"/>
        <v>0</v>
      </c>
    </row>
    <row r="69" spans="2:20" ht="25.5" customHeight="1" hidden="1">
      <c r="B69" s="240" t="s">
        <v>102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11">
        <f>F69/K69</f>
        <v>1</v>
      </c>
      <c r="N69" s="162"/>
      <c r="O69" s="182">
        <f>F69-жовтень!F69</f>
        <v>0</v>
      </c>
      <c r="P69" s="167"/>
      <c r="Q69" s="167"/>
      <c r="R69" s="38"/>
      <c r="S69" s="97"/>
      <c r="T69" s="147">
        <f t="shared" si="8"/>
        <v>0</v>
      </c>
    </row>
    <row r="70" spans="2:20" ht="31.5" hidden="1">
      <c r="B70" s="241" t="s">
        <v>62</v>
      </c>
      <c r="C70" s="73">
        <v>18041500</v>
      </c>
      <c r="D70" s="180">
        <v>0</v>
      </c>
      <c r="E70" s="180"/>
      <c r="F70" s="181">
        <v>0</v>
      </c>
      <c r="G70" s="162">
        <f>F70-E70</f>
        <v>0</v>
      </c>
      <c r="H70" s="164"/>
      <c r="I70" s="167">
        <f>F70-D70</f>
        <v>0</v>
      </c>
      <c r="J70" s="167"/>
      <c r="K70" s="167">
        <v>-55.72</v>
      </c>
      <c r="L70" s="167">
        <f>F70-K70</f>
        <v>55.72</v>
      </c>
      <c r="M70" s="211">
        <f>F70/K70</f>
        <v>0</v>
      </c>
      <c r="N70" s="164"/>
      <c r="O70" s="182">
        <f>F70-жовтень!F70</f>
        <v>10.19</v>
      </c>
      <c r="P70" s="167">
        <f>O70-N70</f>
        <v>10.19</v>
      </c>
      <c r="Q70" s="167"/>
      <c r="R70" s="38"/>
      <c r="S70" s="97"/>
      <c r="T70" s="147">
        <f t="shared" si="8"/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0.01</v>
      </c>
      <c r="G71" s="185">
        <f>F71-E71</f>
        <v>0.01</v>
      </c>
      <c r="H71" s="186"/>
      <c r="I71" s="187">
        <f>F71-D71</f>
        <v>0.01</v>
      </c>
      <c r="J71" s="187"/>
      <c r="K71" s="187">
        <v>8.48</v>
      </c>
      <c r="L71" s="187">
        <f>F71-K71</f>
        <v>-8.47</v>
      </c>
      <c r="M71" s="217">
        <f>F71/K71</f>
        <v>0.0011792452830188679</v>
      </c>
      <c r="N71" s="185">
        <f>N70</f>
        <v>0</v>
      </c>
      <c r="O71" s="188">
        <f>SUM(O69:O70)</f>
        <v>10.19</v>
      </c>
      <c r="P71" s="187">
        <f>O71-N71</f>
        <v>10.19</v>
      </c>
      <c r="Q71" s="187"/>
      <c r="R71" s="39"/>
      <c r="S71" s="98"/>
      <c r="T71" s="147">
        <f t="shared" si="8"/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18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 t="shared" si="8"/>
        <v>0</v>
      </c>
    </row>
    <row r="73" spans="2:20" ht="31.5">
      <c r="B73" s="23" t="s">
        <v>29</v>
      </c>
      <c r="C73" s="73">
        <v>31030000</v>
      </c>
      <c r="D73" s="180">
        <v>4000</v>
      </c>
      <c r="E73" s="180">
        <v>0</v>
      </c>
      <c r="F73" s="181">
        <v>0</v>
      </c>
      <c r="G73" s="162">
        <f aca="true" t="shared" si="19" ref="G73:G84">F73-E73</f>
        <v>0</v>
      </c>
      <c r="H73" s="164"/>
      <c r="I73" s="167">
        <f aca="true" t="shared" si="20" ref="I73:I84">F73-D73</f>
        <v>-4000</v>
      </c>
      <c r="J73" s="167">
        <f>F73/D73*100</f>
        <v>0</v>
      </c>
      <c r="K73" s="167">
        <v>0.06</v>
      </c>
      <c r="L73" s="167">
        <f aca="true" t="shared" si="21" ref="L73:L84">F73-K73</f>
        <v>-0.06</v>
      </c>
      <c r="M73" s="211">
        <f>F73/K73</f>
        <v>0</v>
      </c>
      <c r="N73" s="164">
        <f>E73-жовтень!E73</f>
        <v>-2700</v>
      </c>
      <c r="O73" s="168">
        <f>F73-жовтень!F73</f>
        <v>-2052.2</v>
      </c>
      <c r="P73" s="167">
        <f aca="true" t="shared" si="22" ref="P73:P86">O73-N73</f>
        <v>647.8000000000002</v>
      </c>
      <c r="Q73" s="167">
        <f>O73/N73*100</f>
        <v>76.0074074074074</v>
      </c>
      <c r="R73" s="38"/>
      <c r="S73" s="97"/>
      <c r="T73" s="147">
        <f t="shared" si="8"/>
        <v>4000</v>
      </c>
    </row>
    <row r="74" spans="2:20" ht="18">
      <c r="B74" s="23" t="s">
        <v>30</v>
      </c>
      <c r="C74" s="73">
        <v>33010000</v>
      </c>
      <c r="D74" s="180">
        <v>8000</v>
      </c>
      <c r="E74" s="180">
        <v>600</v>
      </c>
      <c r="F74" s="181">
        <v>0</v>
      </c>
      <c r="G74" s="162">
        <f t="shared" si="19"/>
        <v>-600</v>
      </c>
      <c r="H74" s="164">
        <f>F74/E74*100</f>
        <v>0</v>
      </c>
      <c r="I74" s="167">
        <f t="shared" si="20"/>
        <v>-8000</v>
      </c>
      <c r="J74" s="167">
        <f>F74/D74*100</f>
        <v>0</v>
      </c>
      <c r="K74" s="167">
        <v>22.91</v>
      </c>
      <c r="L74" s="167">
        <f t="shared" si="21"/>
        <v>-22.91</v>
      </c>
      <c r="M74" s="211">
        <f>F74/K74</f>
        <v>0</v>
      </c>
      <c r="N74" s="164">
        <f>E74-жовтень!E74</f>
        <v>-4552.91</v>
      </c>
      <c r="O74" s="168">
        <f>F74-жовтень!F74</f>
        <v>-7241.5</v>
      </c>
      <c r="P74" s="167">
        <f t="shared" si="22"/>
        <v>-2688.59</v>
      </c>
      <c r="Q74" s="167">
        <f>O74/N74*100</f>
        <v>159.0521227083338</v>
      </c>
      <c r="R74" s="38"/>
      <c r="S74" s="97"/>
      <c r="T74" s="147">
        <f aca="true" t="shared" si="23" ref="T74:T90">D74-E74</f>
        <v>7400</v>
      </c>
    </row>
    <row r="75" spans="2:20" ht="31.5">
      <c r="B75" s="23" t="s">
        <v>54</v>
      </c>
      <c r="C75" s="73">
        <v>24170000</v>
      </c>
      <c r="D75" s="180">
        <v>10000</v>
      </c>
      <c r="E75" s="180">
        <v>400</v>
      </c>
      <c r="F75" s="181">
        <v>72.71</v>
      </c>
      <c r="G75" s="162">
        <f t="shared" si="19"/>
        <v>-327.29</v>
      </c>
      <c r="H75" s="164">
        <f>F75/E75*100</f>
        <v>18.1775</v>
      </c>
      <c r="I75" s="167">
        <f t="shared" si="20"/>
        <v>-9927.29</v>
      </c>
      <c r="J75" s="167">
        <f>F75/D75*100</f>
        <v>0.7271</v>
      </c>
      <c r="K75" s="167">
        <v>282.85</v>
      </c>
      <c r="L75" s="167">
        <f t="shared" si="21"/>
        <v>-210.14000000000004</v>
      </c>
      <c r="M75" s="211">
        <f>F75/K75</f>
        <v>0.2570620470213894</v>
      </c>
      <c r="N75" s="164">
        <f>E75-жовтень!E75</f>
        <v>-2600.85</v>
      </c>
      <c r="O75" s="168">
        <f>F75-жовтень!F75</f>
        <v>-12174.04</v>
      </c>
      <c r="P75" s="167">
        <f t="shared" si="22"/>
        <v>-9573.19</v>
      </c>
      <c r="Q75" s="167">
        <f>O75/N75*100</f>
        <v>468.0792817732665</v>
      </c>
      <c r="R75" s="38"/>
      <c r="S75" s="97"/>
      <c r="T75" s="147">
        <f t="shared" si="23"/>
        <v>9600</v>
      </c>
    </row>
    <row r="76" spans="2:20" ht="18">
      <c r="B76" s="23" t="s">
        <v>103</v>
      </c>
      <c r="C76" s="73">
        <v>24110700</v>
      </c>
      <c r="D76" s="180">
        <v>12</v>
      </c>
      <c r="E76" s="180">
        <v>1</v>
      </c>
      <c r="F76" s="181">
        <v>0</v>
      </c>
      <c r="G76" s="162">
        <f t="shared" si="19"/>
        <v>-1</v>
      </c>
      <c r="H76" s="164">
        <f>F76/E76*100</f>
        <v>0</v>
      </c>
      <c r="I76" s="167">
        <f t="shared" si="20"/>
        <v>-12</v>
      </c>
      <c r="J76" s="167">
        <f>F76/D76*100</f>
        <v>0</v>
      </c>
      <c r="K76" s="167">
        <v>1</v>
      </c>
      <c r="L76" s="167">
        <f t="shared" si="21"/>
        <v>-1</v>
      </c>
      <c r="M76" s="211"/>
      <c r="N76" s="164">
        <f>E76-жовтень!E76</f>
        <v>-9</v>
      </c>
      <c r="O76" s="168">
        <f>F76-жовтень!F76</f>
        <v>-11</v>
      </c>
      <c r="P76" s="167">
        <f t="shared" si="22"/>
        <v>-2</v>
      </c>
      <c r="Q76" s="167">
        <f>O76/N76*100</f>
        <v>122.22222222222223</v>
      </c>
      <c r="R76" s="38"/>
      <c r="S76" s="136"/>
      <c r="T76" s="147">
        <f t="shared" si="23"/>
        <v>11</v>
      </c>
    </row>
    <row r="77" spans="2:20" ht="33">
      <c r="B77" s="28" t="s">
        <v>51</v>
      </c>
      <c r="C77" s="65"/>
      <c r="D77" s="183">
        <f>D73+D74+D75+D76</f>
        <v>22012</v>
      </c>
      <c r="E77" s="183">
        <f>E73+E74+E75+E76</f>
        <v>1001</v>
      </c>
      <c r="F77" s="184">
        <f>F73+F74+F75+F76</f>
        <v>72.71</v>
      </c>
      <c r="G77" s="185">
        <f t="shared" si="19"/>
        <v>-928.29</v>
      </c>
      <c r="H77" s="186">
        <f>F77/E77*100</f>
        <v>7.263736263736263</v>
      </c>
      <c r="I77" s="187">
        <f t="shared" si="20"/>
        <v>-21939.29</v>
      </c>
      <c r="J77" s="187">
        <f>F77/D77*100</f>
        <v>0.33031982554970013</v>
      </c>
      <c r="K77" s="187">
        <v>306.82</v>
      </c>
      <c r="L77" s="187">
        <f t="shared" si="21"/>
        <v>-234.11</v>
      </c>
      <c r="M77" s="217">
        <f>F77/K77</f>
        <v>0.23697933641874713</v>
      </c>
      <c r="N77" s="185">
        <f>N73+N74+N75+N76</f>
        <v>-9862.76</v>
      </c>
      <c r="O77" s="189">
        <f>O73+O74+O75+O76</f>
        <v>-21478.74</v>
      </c>
      <c r="P77" s="187">
        <f t="shared" si="22"/>
        <v>-11615.980000000001</v>
      </c>
      <c r="Q77" s="187">
        <f>O77/N77*100</f>
        <v>217.7761600201161</v>
      </c>
      <c r="R77" s="39"/>
      <c r="S77" s="116"/>
      <c r="T77" s="147">
        <f t="shared" si="23"/>
        <v>21011</v>
      </c>
    </row>
    <row r="78" spans="2:20" ht="46.5">
      <c r="B78" s="12" t="s">
        <v>40</v>
      </c>
      <c r="C78" s="75">
        <v>24062100</v>
      </c>
      <c r="D78" s="180">
        <v>40</v>
      </c>
      <c r="E78" s="180">
        <v>0</v>
      </c>
      <c r="F78" s="181">
        <v>0.34</v>
      </c>
      <c r="G78" s="162">
        <f t="shared" si="19"/>
        <v>0.34</v>
      </c>
      <c r="H78" s="164"/>
      <c r="I78" s="167">
        <f t="shared" si="20"/>
        <v>-39.66</v>
      </c>
      <c r="J78" s="167"/>
      <c r="K78" s="167">
        <v>0</v>
      </c>
      <c r="L78" s="167">
        <f t="shared" si="21"/>
        <v>0.34</v>
      </c>
      <c r="M78" s="211" t="e">
        <f>F78/K78</f>
        <v>#DIV/0!</v>
      </c>
      <c r="N78" s="164">
        <f>E78-жовтень!E78</f>
        <v>0</v>
      </c>
      <c r="O78" s="168">
        <f>F78-жовтень!F78</f>
        <v>-35.61</v>
      </c>
      <c r="P78" s="167">
        <f t="shared" si="22"/>
        <v>-35.61</v>
      </c>
      <c r="Q78" s="167"/>
      <c r="R78" s="38"/>
      <c r="S78" s="97"/>
      <c r="T78" s="147">
        <f t="shared" si="23"/>
        <v>40</v>
      </c>
    </row>
    <row r="79" spans="2:20" ht="18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 t="shared" si="19"/>
        <v>0</v>
      </c>
      <c r="H79" s="164"/>
      <c r="I79" s="167">
        <f t="shared" si="20"/>
        <v>0</v>
      </c>
      <c r="J79" s="190"/>
      <c r="K79" s="167">
        <v>0</v>
      </c>
      <c r="L79" s="167">
        <f t="shared" si="21"/>
        <v>0</v>
      </c>
      <c r="M79" s="211" t="e">
        <f>F79/K79</f>
        <v>#DIV/0!</v>
      </c>
      <c r="N79" s="164">
        <f>E79-жовтень!E79</f>
        <v>0</v>
      </c>
      <c r="O79" s="168">
        <f>F79-жовтень!F79</f>
        <v>0</v>
      </c>
      <c r="P79" s="167">
        <f t="shared" si="22"/>
        <v>0</v>
      </c>
      <c r="Q79" s="190"/>
      <c r="R79" s="41"/>
      <c r="S79" s="99"/>
      <c r="T79" s="147">
        <f t="shared" si="23"/>
        <v>0</v>
      </c>
    </row>
    <row r="80" spans="2:20" ht="18">
      <c r="B80" s="23" t="s">
        <v>46</v>
      </c>
      <c r="C80" s="73">
        <v>19010000</v>
      </c>
      <c r="D80" s="180">
        <v>8360</v>
      </c>
      <c r="E80" s="180">
        <v>7.5</v>
      </c>
      <c r="F80" s="181">
        <v>1.91</v>
      </c>
      <c r="G80" s="162">
        <f t="shared" si="19"/>
        <v>-5.59</v>
      </c>
      <c r="H80" s="164">
        <f>F80/E80*100</f>
        <v>25.466666666666665</v>
      </c>
      <c r="I80" s="167">
        <f t="shared" si="20"/>
        <v>-8358.09</v>
      </c>
      <c r="J80" s="167">
        <f>F80/D80*100</f>
        <v>0.02284688995215311</v>
      </c>
      <c r="K80" s="167">
        <v>0</v>
      </c>
      <c r="L80" s="167">
        <f t="shared" si="21"/>
        <v>1.91</v>
      </c>
      <c r="M80" s="211"/>
      <c r="N80" s="164">
        <f>E80-жовтень!E80</f>
        <v>-7617.8</v>
      </c>
      <c r="O80" s="168">
        <f>F80-жовтень!F80</f>
        <v>-6834.16</v>
      </c>
      <c r="P80" s="167">
        <f>O80-N80</f>
        <v>783.6400000000003</v>
      </c>
      <c r="Q80" s="190">
        <f>O80/N80*100</f>
        <v>89.71304051038356</v>
      </c>
      <c r="R80" s="41"/>
      <c r="S80" s="99"/>
      <c r="T80" s="147">
        <f t="shared" si="23"/>
        <v>8352.5</v>
      </c>
    </row>
    <row r="81" spans="2:20" ht="31.5" hidden="1">
      <c r="B81" s="241" t="s">
        <v>50</v>
      </c>
      <c r="C81" s="73">
        <v>19050000</v>
      </c>
      <c r="D81" s="180">
        <v>0</v>
      </c>
      <c r="E81" s="180"/>
      <c r="F81" s="181">
        <v>0</v>
      </c>
      <c r="G81" s="162">
        <f t="shared" si="19"/>
        <v>0</v>
      </c>
      <c r="H81" s="164"/>
      <c r="I81" s="167">
        <f t="shared" si="20"/>
        <v>0</v>
      </c>
      <c r="J81" s="167"/>
      <c r="K81" s="167">
        <v>1.31</v>
      </c>
      <c r="L81" s="167">
        <f t="shared" si="21"/>
        <v>-1.31</v>
      </c>
      <c r="M81" s="211">
        <f aca="true" t="shared" si="24" ref="M81:M86">F81/K81</f>
        <v>0</v>
      </c>
      <c r="N81" s="164">
        <f>E81-жовтень!E81</f>
        <v>0</v>
      </c>
      <c r="O81" s="168">
        <f>F81-жовтень!F81</f>
        <v>-1.34</v>
      </c>
      <c r="P81" s="167">
        <f t="shared" si="22"/>
        <v>-1.34</v>
      </c>
      <c r="Q81" s="167"/>
      <c r="R81" s="38"/>
      <c r="S81" s="97"/>
      <c r="T81" s="147">
        <f t="shared" si="23"/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7.5</v>
      </c>
      <c r="F82" s="184">
        <f>F78+F81+F79+F80</f>
        <v>2.25</v>
      </c>
      <c r="G82" s="183">
        <f>G78+G81+G79+G80</f>
        <v>-5.25</v>
      </c>
      <c r="H82" s="186">
        <f>F82/E82*100</f>
        <v>30</v>
      </c>
      <c r="I82" s="187">
        <f t="shared" si="20"/>
        <v>-8397.75</v>
      </c>
      <c r="J82" s="187">
        <f>F82/D82*100</f>
        <v>0.026785714285714288</v>
      </c>
      <c r="K82" s="187">
        <v>0.12</v>
      </c>
      <c r="L82" s="187">
        <f t="shared" si="21"/>
        <v>2.13</v>
      </c>
      <c r="M82" s="225">
        <f t="shared" si="24"/>
        <v>18.75</v>
      </c>
      <c r="N82" s="185">
        <f>N78+N81+N79+N80</f>
        <v>-7617.8</v>
      </c>
      <c r="O82" s="189">
        <f>O78+O81+O79+O80</f>
        <v>-6871.11</v>
      </c>
      <c r="P82" s="185">
        <f>P78+P81+P79+P80</f>
        <v>746.6900000000003</v>
      </c>
      <c r="Q82" s="187">
        <f>O82/N82*100</f>
        <v>90.19808868702249</v>
      </c>
      <c r="R82" s="39"/>
      <c r="S82" s="96"/>
      <c r="T82" s="147">
        <f t="shared" si="23"/>
        <v>8392.5</v>
      </c>
    </row>
    <row r="83" spans="2:20" ht="30.75">
      <c r="B83" s="12" t="s">
        <v>41</v>
      </c>
      <c r="C83" s="43">
        <v>24110900</v>
      </c>
      <c r="D83" s="180">
        <v>38</v>
      </c>
      <c r="E83" s="180">
        <v>2.4</v>
      </c>
      <c r="F83" s="181">
        <v>0</v>
      </c>
      <c r="G83" s="162">
        <f t="shared" si="19"/>
        <v>-2.4</v>
      </c>
      <c r="H83" s="164">
        <f>F83/E83*100</f>
        <v>0</v>
      </c>
      <c r="I83" s="167">
        <f t="shared" si="20"/>
        <v>-38</v>
      </c>
      <c r="J83" s="167">
        <f>F83/D83*100</f>
        <v>0</v>
      </c>
      <c r="K83" s="167">
        <v>0.35</v>
      </c>
      <c r="L83" s="167">
        <f t="shared" si="21"/>
        <v>-0.35</v>
      </c>
      <c r="M83" s="211">
        <f t="shared" si="24"/>
        <v>0</v>
      </c>
      <c r="N83" s="164">
        <f>E83-жовтень!E83</f>
        <v>-27.37</v>
      </c>
      <c r="O83" s="168">
        <f>F83-жовтень!F83</f>
        <v>-27.47</v>
      </c>
      <c r="P83" s="167">
        <f t="shared" si="22"/>
        <v>-0.09999999999999787</v>
      </c>
      <c r="Q83" s="167">
        <f>O83/N83</f>
        <v>1.0036536353671903</v>
      </c>
      <c r="R83" s="38"/>
      <c r="S83" s="97"/>
      <c r="T83" s="147">
        <f t="shared" si="23"/>
        <v>35.6</v>
      </c>
    </row>
    <row r="84" spans="2:20" ht="18">
      <c r="B84" s="122" t="s">
        <v>183</v>
      </c>
      <c r="C84" s="43">
        <v>21110000</v>
      </c>
      <c r="D84" s="180">
        <v>0</v>
      </c>
      <c r="E84" s="180">
        <v>0</v>
      </c>
      <c r="F84" s="181">
        <v>0.75</v>
      </c>
      <c r="G84" s="162">
        <f t="shared" si="19"/>
        <v>0.75</v>
      </c>
      <c r="H84" s="164"/>
      <c r="I84" s="167">
        <f t="shared" si="20"/>
        <v>0.75</v>
      </c>
      <c r="J84" s="167"/>
      <c r="K84" s="167">
        <v>0</v>
      </c>
      <c r="L84" s="167">
        <f t="shared" si="21"/>
        <v>0.75</v>
      </c>
      <c r="M84" s="167" t="e">
        <f t="shared" si="24"/>
        <v>#DIV/0!</v>
      </c>
      <c r="N84" s="164" t="e">
        <f>E84-#REF!</f>
        <v>#REF!</v>
      </c>
      <c r="O84" s="168" t="e">
        <f>F84-#REF!</f>
        <v>#REF!</v>
      </c>
      <c r="P84" s="167" t="e">
        <f t="shared" si="22"/>
        <v>#REF!</v>
      </c>
      <c r="Q84" s="167"/>
      <c r="R84" s="38"/>
      <c r="S84" s="97"/>
      <c r="T84" s="147">
        <f t="shared" si="23"/>
        <v>0</v>
      </c>
    </row>
    <row r="85" spans="2:20" ht="23.25" customHeight="1">
      <c r="B85" s="14" t="s">
        <v>31</v>
      </c>
      <c r="C85" s="66"/>
      <c r="D85" s="191">
        <f>D71+D83+D77+D82</f>
        <v>30450</v>
      </c>
      <c r="E85" s="191">
        <f>E71+E83+E77+E82</f>
        <v>1010.9</v>
      </c>
      <c r="F85" s="191">
        <f>F71+F83+F77+F82+F84</f>
        <v>75.72</v>
      </c>
      <c r="G85" s="192">
        <f>F85-E85</f>
        <v>-935.18</v>
      </c>
      <c r="H85" s="193">
        <f>F85/E85*100</f>
        <v>7.490355129092888</v>
      </c>
      <c r="I85" s="194">
        <f>F85-D85</f>
        <v>-30374.28</v>
      </c>
      <c r="J85" s="194">
        <f>F85/D85*100</f>
        <v>0.24866995073891626</v>
      </c>
      <c r="K85" s="194">
        <v>315.77</v>
      </c>
      <c r="L85" s="194">
        <f>F85-K85</f>
        <v>-240.04999999999998</v>
      </c>
      <c r="M85" s="226">
        <f t="shared" si="24"/>
        <v>0.23979478734521964</v>
      </c>
      <c r="N85" s="191">
        <f>N71+N83+N77+N82</f>
        <v>-17507.93</v>
      </c>
      <c r="O85" s="191" t="e">
        <f>O71+O83+O77+O82+O84</f>
        <v>#REF!</v>
      </c>
      <c r="P85" s="194" t="e">
        <f t="shared" si="22"/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 t="shared" si="23"/>
        <v>29439.1</v>
      </c>
    </row>
    <row r="86" spans="2:20" ht="17.25">
      <c r="B86" s="21" t="s">
        <v>32</v>
      </c>
      <c r="C86" s="66"/>
      <c r="D86" s="191">
        <f>D64+D85</f>
        <v>1387941.1</v>
      </c>
      <c r="E86" s="191">
        <f>E64+E85</f>
        <v>90367.4</v>
      </c>
      <c r="F86" s="191">
        <f>F64+F85</f>
        <v>27470.370000000003</v>
      </c>
      <c r="G86" s="192">
        <f>F86-E86</f>
        <v>-62897.02999999999</v>
      </c>
      <c r="H86" s="193">
        <f>F86/E86*100</f>
        <v>30.398539738888143</v>
      </c>
      <c r="I86" s="194">
        <f>F86-D86</f>
        <v>-1360470.73</v>
      </c>
      <c r="J86" s="194">
        <f>F86/D86*100</f>
        <v>1.979217273701312</v>
      </c>
      <c r="K86" s="194">
        <f>K64+K85</f>
        <v>62928.35999999999</v>
      </c>
      <c r="L86" s="194">
        <f>F86-K86</f>
        <v>-35457.98999999999</v>
      </c>
      <c r="M86" s="226">
        <f t="shared" si="24"/>
        <v>0.4365340205910341</v>
      </c>
      <c r="N86" s="192">
        <f>N64+N85</f>
        <v>-779143.9899999999</v>
      </c>
      <c r="O86" s="192" t="e">
        <f>O64+O85</f>
        <v>#REF!</v>
      </c>
      <c r="P86" s="194" t="e">
        <f t="shared" si="22"/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 t="shared" si="23"/>
        <v>1297573.7000000002</v>
      </c>
    </row>
    <row r="87" spans="2:20" ht="15">
      <c r="B87" s="20" t="s">
        <v>34</v>
      </c>
      <c r="O87" s="25"/>
      <c r="T87" s="147">
        <f t="shared" si="23"/>
        <v>0</v>
      </c>
    </row>
    <row r="88" spans="2:20" ht="15">
      <c r="B88" s="4" t="s">
        <v>36</v>
      </c>
      <c r="C88" s="76">
        <v>11</v>
      </c>
      <c r="D88" s="4" t="s">
        <v>35</v>
      </c>
      <c r="O88" s="78"/>
      <c r="T88" s="147" t="e">
        <f t="shared" si="23"/>
        <v>#VALUE!</v>
      </c>
    </row>
    <row r="89" spans="2:20" ht="30.75" hidden="1">
      <c r="B89" s="52" t="s">
        <v>53</v>
      </c>
      <c r="C89" s="29">
        <f>IF(P64&lt;0,ABS(P64/C88),0)</f>
        <v>5783.66545454546</v>
      </c>
      <c r="D89" s="4" t="s">
        <v>24</v>
      </c>
      <c r="G89" s="268"/>
      <c r="H89" s="268"/>
      <c r="I89" s="268"/>
      <c r="J89" s="268"/>
      <c r="K89" s="84"/>
      <c r="L89" s="84"/>
      <c r="M89" s="84"/>
      <c r="Q89" s="25"/>
      <c r="R89" s="25"/>
      <c r="T89" s="147" t="e">
        <f t="shared" si="23"/>
        <v>#VALUE!</v>
      </c>
    </row>
    <row r="90" spans="2:20" ht="34.5" customHeight="1">
      <c r="B90" s="53" t="s">
        <v>55</v>
      </c>
      <c r="C90" s="81">
        <v>42751</v>
      </c>
      <c r="D90" s="29">
        <v>4841.5</v>
      </c>
      <c r="G90" s="4" t="s">
        <v>58</v>
      </c>
      <c r="O90" s="269"/>
      <c r="P90" s="269"/>
      <c r="T90" s="147">
        <f t="shared" si="23"/>
        <v>4841.5</v>
      </c>
    </row>
    <row r="91" spans="3:16" ht="15">
      <c r="C91" s="81">
        <v>42748</v>
      </c>
      <c r="D91" s="29">
        <v>4149.9</v>
      </c>
      <c r="F91" s="113" t="s">
        <v>58</v>
      </c>
      <c r="G91" s="270"/>
      <c r="H91" s="270"/>
      <c r="I91" s="118"/>
      <c r="J91" s="271"/>
      <c r="K91" s="271"/>
      <c r="L91" s="271"/>
      <c r="M91" s="271"/>
      <c r="N91" s="271"/>
      <c r="O91" s="269"/>
      <c r="P91" s="269"/>
    </row>
    <row r="92" spans="3:16" ht="15.75" customHeight="1">
      <c r="C92" s="81">
        <v>42747</v>
      </c>
      <c r="D92" s="29">
        <v>2609.8</v>
      </c>
      <c r="F92" s="68"/>
      <c r="G92" s="270"/>
      <c r="H92" s="270"/>
      <c r="I92" s="118"/>
      <c r="J92" s="272"/>
      <c r="K92" s="272"/>
      <c r="L92" s="272"/>
      <c r="M92" s="272"/>
      <c r="N92" s="272"/>
      <c r="O92" s="269"/>
      <c r="P92" s="269"/>
    </row>
    <row r="93" spans="3:14" ht="15.75" customHeight="1">
      <c r="C93" s="81"/>
      <c r="F93" s="68"/>
      <c r="G93" s="276"/>
      <c r="H93" s="276"/>
      <c r="I93" s="124"/>
      <c r="J93" s="271"/>
      <c r="K93" s="271"/>
      <c r="L93" s="271"/>
      <c r="M93" s="271"/>
      <c r="N93" s="271"/>
    </row>
    <row r="94" spans="2:14" ht="18.75" customHeight="1">
      <c r="B94" s="277" t="s">
        <v>56</v>
      </c>
      <c r="C94" s="278"/>
      <c r="D94" s="133">
        <v>0.00256</v>
      </c>
      <c r="E94" s="69"/>
      <c r="F94" s="125" t="s">
        <v>110</v>
      </c>
      <c r="G94" s="270"/>
      <c r="H94" s="270"/>
      <c r="I94" s="126"/>
      <c r="J94" s="271"/>
      <c r="K94" s="271"/>
      <c r="L94" s="271"/>
      <c r="M94" s="271"/>
      <c r="N94" s="271"/>
    </row>
    <row r="95" spans="6:13" ht="9.75" customHeight="1">
      <c r="F95" s="68"/>
      <c r="G95" s="270"/>
      <c r="H95" s="270"/>
      <c r="I95" s="68"/>
      <c r="J95" s="69"/>
      <c r="K95" s="69"/>
      <c r="L95" s="69"/>
      <c r="M95" s="69"/>
    </row>
    <row r="96" spans="2:13" ht="22.5" customHeight="1" hidden="1">
      <c r="B96" s="273" t="s">
        <v>59</v>
      </c>
      <c r="C96" s="274"/>
      <c r="D96" s="80">
        <v>0</v>
      </c>
      <c r="E96" s="51" t="s">
        <v>24</v>
      </c>
      <c r="F96" s="68"/>
      <c r="G96" s="270"/>
      <c r="H96" s="270"/>
      <c r="I96" s="68"/>
      <c r="J96" s="69"/>
      <c r="K96" s="69"/>
      <c r="L96" s="69"/>
      <c r="M96" s="69"/>
    </row>
    <row r="97" spans="4:16" ht="15" hidden="1">
      <c r="D97" s="68">
        <f>D45+D48+D49</f>
        <v>1060</v>
      </c>
      <c r="E97" s="68">
        <f>E45+E48+E49</f>
        <v>86</v>
      </c>
      <c r="F97" s="205">
        <f>F45+F48+F49</f>
        <v>59.36</v>
      </c>
      <c r="G97" s="68">
        <f>G45+G48+G49</f>
        <v>-26.64</v>
      </c>
      <c r="H97" s="69"/>
      <c r="I97" s="69"/>
      <c r="N97" s="29">
        <f>N45+N48+N49</f>
        <v>-872</v>
      </c>
      <c r="O97" s="204">
        <f>O45+O48+O49</f>
        <v>-735.1500000000001</v>
      </c>
      <c r="P97" s="29">
        <f>P45+P48+P49</f>
        <v>136.85</v>
      </c>
    </row>
    <row r="98" spans="4:16" ht="15" hidden="1">
      <c r="D98" s="78"/>
      <c r="I98" s="29"/>
      <c r="O98" s="275"/>
      <c r="P98" s="275"/>
    </row>
    <row r="99" spans="2:17" ht="15" hidden="1">
      <c r="B99" s="4" t="s">
        <v>157</v>
      </c>
      <c r="D99" s="29">
        <f>D9+D15+D17+D18+D19+D20+D39+D42+D56+D62+D63</f>
        <v>1299048.6</v>
      </c>
      <c r="E99" s="29">
        <f>E9+E15+E17+E18+E19+E20+E39+E42+E56+E62+E63</f>
        <v>87368.7</v>
      </c>
      <c r="F99" s="234">
        <f>F9+F15+F17+F18+F19+F20+F39+F42+F56+F62+F63</f>
        <v>25874.73</v>
      </c>
      <c r="G99" s="29">
        <f>F99-E99</f>
        <v>-61493.97</v>
      </c>
      <c r="H99" s="235">
        <f>F99/E99</f>
        <v>0.29615560263572654</v>
      </c>
      <c r="I99" s="29">
        <f>F99-D99</f>
        <v>-1273173.87</v>
      </c>
      <c r="J99" s="235">
        <f>F99/D99</f>
        <v>0.019918215530966277</v>
      </c>
      <c r="N99" s="29">
        <f>N9+N15+N17+N18+N19+N20+N39+N42+N44+N56+N62+N63</f>
        <v>-708722.1999999998</v>
      </c>
      <c r="O99" s="234">
        <f>O9+O15+O17+O18+O19+O20+O39+O42+O44+O56+O62+O63</f>
        <v>-772293.9099999997</v>
      </c>
      <c r="P99" s="29">
        <f>O99-N99</f>
        <v>-63571.709999999846</v>
      </c>
      <c r="Q99" s="235">
        <f>O99/N99</f>
        <v>1.0896990527459136</v>
      </c>
    </row>
    <row r="100" spans="2:17" ht="15" hidden="1">
      <c r="B100" s="4" t="s">
        <v>158</v>
      </c>
      <c r="D100" s="29">
        <f>D40+D41+D43+D45+D47+D48+D49+D50+D51+D57+D61+D44</f>
        <v>58442.5</v>
      </c>
      <c r="E100" s="29">
        <f>E40+E41+E43+E45+E47+E48+E49+E50+E51+E57+E61+E44</f>
        <v>1987.8</v>
      </c>
      <c r="F100" s="234">
        <f>F40+F41+F43+F45+F47+F48+F49+F50+F51+F57+F61+F44</f>
        <v>1519.92</v>
      </c>
      <c r="G100" s="29">
        <f>G40+G41+G43+G45+G47+G48+G49+G50+G51+G57+G61+G44</f>
        <v>-467.88000000000005</v>
      </c>
      <c r="H100" s="235">
        <f>F100/E100</f>
        <v>0.7646242076667673</v>
      </c>
      <c r="I100" s="29">
        <f>I40+I41+I43+I45+I47+I48+I49+I50+I51+I57+I61+I44</f>
        <v>-56922.58</v>
      </c>
      <c r="J100" s="235">
        <f>F100/D100</f>
        <v>0.026007100996706164</v>
      </c>
      <c r="K100" s="29">
        <f aca="true" t="shared" si="25" ref="K100:P100">K40+K41+K43+K45+K47+K48+K49+K50+K51+K57+K61+K44</f>
        <v>2026.0900000000001</v>
      </c>
      <c r="L100" s="29">
        <f t="shared" si="25"/>
        <v>-506.17</v>
      </c>
      <c r="M100" s="29">
        <f t="shared" si="25"/>
        <v>1.9844575234199602</v>
      </c>
      <c r="N100" s="29">
        <f t="shared" si="25"/>
        <v>-52921.06</v>
      </c>
      <c r="O100" s="234">
        <f t="shared" si="25"/>
        <v>-53010.41999999999</v>
      </c>
      <c r="P100" s="29">
        <f t="shared" si="25"/>
        <v>-48.61000000000041</v>
      </c>
      <c r="Q100" s="235">
        <f>O100/N100</f>
        <v>1.0016885527236226</v>
      </c>
    </row>
    <row r="101" spans="2:17" ht="15" hidden="1">
      <c r="B101" s="4" t="s">
        <v>159</v>
      </c>
      <c r="D101" s="29">
        <f>SUM(D99:D100)</f>
        <v>1357491.1</v>
      </c>
      <c r="E101" s="29">
        <f aca="true" t="shared" si="26" ref="E101:P101">SUM(E99:E100)</f>
        <v>89356.5</v>
      </c>
      <c r="F101" s="234">
        <f t="shared" si="26"/>
        <v>27394.65</v>
      </c>
      <c r="G101" s="29">
        <f t="shared" si="26"/>
        <v>-61961.85</v>
      </c>
      <c r="H101" s="235">
        <f>F101/E101</f>
        <v>0.3065770257339981</v>
      </c>
      <c r="I101" s="29">
        <f t="shared" si="26"/>
        <v>-1330096.4500000002</v>
      </c>
      <c r="J101" s="235">
        <f>F101/D101</f>
        <v>0.020180353300290513</v>
      </c>
      <c r="K101" s="29">
        <f t="shared" si="26"/>
        <v>2026.0900000000001</v>
      </c>
      <c r="L101" s="29">
        <f t="shared" si="26"/>
        <v>-506.17</v>
      </c>
      <c r="M101" s="29">
        <f t="shared" si="26"/>
        <v>1.9844575234199602</v>
      </c>
      <c r="N101" s="29">
        <f t="shared" si="26"/>
        <v>-761643.2599999998</v>
      </c>
      <c r="O101" s="234">
        <f t="shared" si="26"/>
        <v>-825304.3299999997</v>
      </c>
      <c r="P101" s="29">
        <f t="shared" si="26"/>
        <v>-63620.31999999985</v>
      </c>
      <c r="Q101" s="235">
        <f>O101/N101</f>
        <v>1.0835838421257742</v>
      </c>
    </row>
    <row r="102" spans="4:21" ht="15" hidden="1">
      <c r="D102" s="29">
        <f>D64-D101</f>
        <v>0</v>
      </c>
      <c r="E102" s="29">
        <f aca="true" t="shared" si="27" ref="E102:U102">E64-E101</f>
        <v>0</v>
      </c>
      <c r="F102" s="29">
        <f t="shared" si="27"/>
        <v>0</v>
      </c>
      <c r="G102" s="29">
        <f t="shared" si="27"/>
        <v>0</v>
      </c>
      <c r="H102" s="235"/>
      <c r="I102" s="29">
        <f t="shared" si="27"/>
        <v>0</v>
      </c>
      <c r="J102" s="235"/>
      <c r="K102" s="29">
        <f t="shared" si="27"/>
        <v>60586.5</v>
      </c>
      <c r="L102" s="29">
        <f t="shared" si="27"/>
        <v>-34711.77</v>
      </c>
      <c r="M102" s="29">
        <f t="shared" si="27"/>
        <v>-1.546931300658691</v>
      </c>
      <c r="N102" s="29">
        <f t="shared" si="27"/>
        <v>7.199999999953434</v>
      </c>
      <c r="O102" s="29">
        <f t="shared" si="27"/>
        <v>47.94999999983702</v>
      </c>
      <c r="P102" s="29">
        <f t="shared" si="27"/>
        <v>-2.1827872842550278E-10</v>
      </c>
      <c r="Q102" s="29"/>
      <c r="R102" s="29">
        <f t="shared" si="27"/>
        <v>-860024.3799999999</v>
      </c>
      <c r="S102" s="29">
        <f t="shared" si="27"/>
        <v>-23.73609008283479</v>
      </c>
      <c r="T102" s="29">
        <f t="shared" si="27"/>
        <v>1268134.6</v>
      </c>
      <c r="U102" s="29">
        <f t="shared" si="27"/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3"/>
  <sheetViews>
    <sheetView zoomScale="76" zoomScaleNormal="76" zoomScalePageLayoutView="0" workbookViewId="0" topLeftCell="B1">
      <pane xSplit="2" ySplit="8" topLeftCell="D1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hidden="1" customWidth="1"/>
    <col min="6" max="6" width="13.875" style="113" customWidth="1"/>
    <col min="7" max="7" width="13.25390625" style="4" hidden="1" customWidth="1"/>
    <col min="8" max="8" width="11.50390625" style="4" hidden="1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2.125" style="4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0.6171875" style="4" hidden="1" customWidth="1"/>
    <col min="22" max="22" width="9.125" style="4" hidden="1" customWidth="1"/>
    <col min="23" max="16384" width="9.125" style="4" customWidth="1"/>
  </cols>
  <sheetData>
    <row r="1" spans="1:19" s="1" customFormat="1" ht="26.25" customHeight="1">
      <c r="A1" s="242" t="s">
        <v>172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86"/>
      <c r="S1" s="87"/>
    </row>
    <row r="2" spans="2:19" s="1" customFormat="1" ht="15.75" customHeight="1">
      <c r="B2" s="243"/>
      <c r="C2" s="243"/>
      <c r="D2" s="243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244"/>
      <c r="B3" s="246"/>
      <c r="C3" s="247" t="s">
        <v>0</v>
      </c>
      <c r="D3" s="248" t="s">
        <v>166</v>
      </c>
      <c r="E3" s="32"/>
      <c r="F3" s="249" t="s">
        <v>26</v>
      </c>
      <c r="G3" s="250"/>
      <c r="H3" s="250"/>
      <c r="I3" s="250"/>
      <c r="J3" s="251"/>
      <c r="K3" s="83"/>
      <c r="L3" s="83"/>
      <c r="M3" s="83"/>
      <c r="N3" s="252" t="s">
        <v>169</v>
      </c>
      <c r="O3" s="255" t="s">
        <v>165</v>
      </c>
      <c r="P3" s="255"/>
      <c r="Q3" s="255"/>
      <c r="R3" s="255"/>
      <c r="S3" s="255"/>
    </row>
    <row r="4" spans="1:19" ht="22.5" customHeight="1">
      <c r="A4" s="244"/>
      <c r="B4" s="246"/>
      <c r="C4" s="247"/>
      <c r="D4" s="248"/>
      <c r="E4" s="256" t="s">
        <v>167</v>
      </c>
      <c r="F4" s="258" t="s">
        <v>33</v>
      </c>
      <c r="G4" s="260" t="s">
        <v>168</v>
      </c>
      <c r="H4" s="253" t="s">
        <v>162</v>
      </c>
      <c r="I4" s="260" t="s">
        <v>106</v>
      </c>
      <c r="J4" s="253" t="s">
        <v>107</v>
      </c>
      <c r="K4" s="85" t="s">
        <v>124</v>
      </c>
      <c r="L4" s="206" t="s">
        <v>123</v>
      </c>
      <c r="M4" s="90" t="s">
        <v>63</v>
      </c>
      <c r="N4" s="253"/>
      <c r="O4" s="262" t="s">
        <v>173</v>
      </c>
      <c r="P4" s="260" t="s">
        <v>49</v>
      </c>
      <c r="Q4" s="264" t="s">
        <v>48</v>
      </c>
      <c r="R4" s="91" t="s">
        <v>64</v>
      </c>
      <c r="S4" s="92" t="s">
        <v>63</v>
      </c>
    </row>
    <row r="5" spans="1:19" ht="67.5" customHeight="1">
      <c r="A5" s="245"/>
      <c r="B5" s="246"/>
      <c r="C5" s="247"/>
      <c r="D5" s="248"/>
      <c r="E5" s="257"/>
      <c r="F5" s="259"/>
      <c r="G5" s="261"/>
      <c r="H5" s="254"/>
      <c r="I5" s="261"/>
      <c r="J5" s="254"/>
      <c r="K5" s="265" t="s">
        <v>170</v>
      </c>
      <c r="L5" s="266"/>
      <c r="M5" s="267"/>
      <c r="N5" s="254"/>
      <c r="O5" s="263"/>
      <c r="P5" s="261"/>
      <c r="Q5" s="264"/>
      <c r="R5" s="265" t="s">
        <v>104</v>
      </c>
      <c r="S5" s="267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24" s="6" customFormat="1" ht="17.25">
      <c r="A8" s="7"/>
      <c r="B8" s="154" t="s">
        <v>9</v>
      </c>
      <c r="C8" s="70" t="s">
        <v>10</v>
      </c>
      <c r="D8" s="151">
        <f>D9+D15+D18+D19+D20+D37+D17</f>
        <v>975359.8500000001</v>
      </c>
      <c r="E8" s="151">
        <f>E9+E15+E18+E19+E20+E37+E17</f>
        <v>975359.8500000001</v>
      </c>
      <c r="F8" s="151">
        <f>F9+F15+F18+F19+F20+F37+F17</f>
        <v>984795.9400000001</v>
      </c>
      <c r="G8" s="151">
        <f aca="true" t="shared" si="0" ref="G8:G37">F8-E8</f>
        <v>9436.089999999967</v>
      </c>
      <c r="H8" s="152">
        <f>F8/E8*100</f>
        <v>100.96744704018728</v>
      </c>
      <c r="I8" s="153">
        <f>F8-D8</f>
        <v>9436.089999999967</v>
      </c>
      <c r="J8" s="153">
        <f>F8/D8*100</f>
        <v>100.96744704018728</v>
      </c>
      <c r="K8" s="151">
        <v>672693.01</v>
      </c>
      <c r="L8" s="151">
        <f aca="true" t="shared" si="1" ref="L8:L51">F8-K8</f>
        <v>312102.93000000005</v>
      </c>
      <c r="M8" s="207">
        <f aca="true" t="shared" si="2" ref="M8:M28">F8/K8</f>
        <v>1.4639604178434975</v>
      </c>
      <c r="N8" s="151">
        <f>N9+N15+N18+N19+N20+N17</f>
        <v>90938.00000000003</v>
      </c>
      <c r="O8" s="151">
        <f>O9+O15+O18+O19+O20+O17</f>
        <v>94197.47000000012</v>
      </c>
      <c r="P8" s="151">
        <f>O8-N8</f>
        <v>3259.4700000000885</v>
      </c>
      <c r="Q8" s="151">
        <f>O8/N8*100</f>
        <v>103.58427719985055</v>
      </c>
      <c r="R8" s="15" t="e">
        <f>#N/A</f>
        <v>#N/A</v>
      </c>
      <c r="S8" s="15" t="e">
        <f>#N/A</f>
        <v>#N/A</v>
      </c>
      <c r="X8" s="147"/>
    </row>
    <row r="9" spans="1:20" s="6" customFormat="1" ht="18">
      <c r="A9" s="8"/>
      <c r="B9" s="13" t="s">
        <v>80</v>
      </c>
      <c r="C9" s="43">
        <v>11010000</v>
      </c>
      <c r="D9" s="150">
        <f>530589+7005.4</f>
        <v>537594.4</v>
      </c>
      <c r="E9" s="150">
        <f>D9</f>
        <v>537594.4</v>
      </c>
      <c r="F9" s="156">
        <v>541908.55</v>
      </c>
      <c r="G9" s="150">
        <f t="shared" si="0"/>
        <v>4314.150000000023</v>
      </c>
      <c r="H9" s="157">
        <f>F9/E9*100</f>
        <v>100.80249161821627</v>
      </c>
      <c r="I9" s="158">
        <f>F9-D9</f>
        <v>4314.150000000023</v>
      </c>
      <c r="J9" s="158">
        <f>F9/D9*100</f>
        <v>100.80249161821627</v>
      </c>
      <c r="K9" s="232">
        <v>372804.54</v>
      </c>
      <c r="L9" s="159">
        <f t="shared" si="1"/>
        <v>169104.01000000007</v>
      </c>
      <c r="M9" s="208">
        <f t="shared" si="2"/>
        <v>1.4535996530514357</v>
      </c>
      <c r="N9" s="157">
        <f>E9-листопад!E9</f>
        <v>55873.73000000004</v>
      </c>
      <c r="O9" s="160">
        <f>F9-листопад!F9</f>
        <v>61865.80000000005</v>
      </c>
      <c r="P9" s="161">
        <f>O9-N9</f>
        <v>5992.070000000007</v>
      </c>
      <c r="Q9" s="158">
        <f>O9/N9*100</f>
        <v>110.72430639586797</v>
      </c>
      <c r="R9" s="100"/>
      <c r="S9" s="101"/>
      <c r="T9" s="147">
        <f>D9-E9</f>
        <v>0</v>
      </c>
    </row>
    <row r="10" spans="1:20" s="6" customFormat="1" ht="18" hidden="1">
      <c r="A10" s="8"/>
      <c r="B10" s="121" t="s">
        <v>91</v>
      </c>
      <c r="C10" s="102">
        <v>11010100</v>
      </c>
      <c r="D10" s="103">
        <v>485209</v>
      </c>
      <c r="E10" s="103">
        <f aca="true" t="shared" si="3" ref="E10:E19">D10</f>
        <v>485209</v>
      </c>
      <c r="F10" s="140">
        <v>476189.93</v>
      </c>
      <c r="G10" s="103">
        <f t="shared" si="0"/>
        <v>-9019.070000000007</v>
      </c>
      <c r="H10" s="30">
        <f aca="true" t="shared" si="4" ref="H10:H36">F10/E10*100</f>
        <v>98.14119894725778</v>
      </c>
      <c r="I10" s="104">
        <f aca="true" t="shared" si="5" ref="I10:I37">F10-D10</f>
        <v>-9019.070000000007</v>
      </c>
      <c r="J10" s="104">
        <f aca="true" t="shared" si="6" ref="J10:J36">F10/D10*100</f>
        <v>98.14119894725778</v>
      </c>
      <c r="K10" s="106">
        <v>329938.9</v>
      </c>
      <c r="L10" s="106">
        <f t="shared" si="1"/>
        <v>146251.02999999997</v>
      </c>
      <c r="M10" s="209">
        <f t="shared" si="2"/>
        <v>1.4432670109526338</v>
      </c>
      <c r="N10" s="105">
        <f>E10-листопад!E10</f>
        <v>47758.76000000001</v>
      </c>
      <c r="O10" s="144">
        <f>F10-листопад!F10</f>
        <v>54055.130000000005</v>
      </c>
      <c r="P10" s="106">
        <f aca="true" t="shared" si="7" ref="P10:P37">O10-N10</f>
        <v>6296.369999999995</v>
      </c>
      <c r="Q10" s="158">
        <f aca="true" t="shared" si="8" ref="Q10:Q16">O10/N10*100</f>
        <v>113.183696561636</v>
      </c>
      <c r="R10" s="37"/>
      <c r="S10" s="94"/>
      <c r="T10" s="147">
        <f aca="true" t="shared" si="9" ref="T10:T73">D10-E10</f>
        <v>0</v>
      </c>
    </row>
    <row r="11" spans="1:20" s="6" customFormat="1" ht="18" hidden="1">
      <c r="A11" s="8"/>
      <c r="B11" s="121" t="s">
        <v>87</v>
      </c>
      <c r="C11" s="102">
        <v>11010200</v>
      </c>
      <c r="D11" s="103">
        <f>23000+7005.4</f>
        <v>30005.4</v>
      </c>
      <c r="E11" s="103">
        <f t="shared" si="3"/>
        <v>30005.4</v>
      </c>
      <c r="F11" s="140">
        <v>42401.33</v>
      </c>
      <c r="G11" s="103">
        <f t="shared" si="0"/>
        <v>12395.93</v>
      </c>
      <c r="H11" s="30">
        <f t="shared" si="4"/>
        <v>141.31233044718616</v>
      </c>
      <c r="I11" s="104">
        <f t="shared" si="5"/>
        <v>12395.93</v>
      </c>
      <c r="J11" s="104">
        <f t="shared" si="6"/>
        <v>141.31233044718616</v>
      </c>
      <c r="K11" s="106">
        <v>20742.02</v>
      </c>
      <c r="L11" s="106">
        <f t="shared" si="1"/>
        <v>21659.31</v>
      </c>
      <c r="M11" s="209">
        <f t="shared" si="2"/>
        <v>2.0442237544848574</v>
      </c>
      <c r="N11" s="105">
        <f>E11-листопад!E11</f>
        <v>7090.460000000003</v>
      </c>
      <c r="O11" s="144">
        <f>F11-листопад!F11</f>
        <v>5679.610000000001</v>
      </c>
      <c r="P11" s="106">
        <f t="shared" si="7"/>
        <v>-1410.8500000000022</v>
      </c>
      <c r="Q11" s="158">
        <f t="shared" si="8"/>
        <v>80.10213723792248</v>
      </c>
      <c r="R11" s="37"/>
      <c r="S11" s="94"/>
      <c r="T11" s="147">
        <f t="shared" si="9"/>
        <v>0</v>
      </c>
    </row>
    <row r="12" spans="1:20" s="6" customFormat="1" ht="18" hidden="1">
      <c r="A12" s="8"/>
      <c r="B12" s="121" t="s">
        <v>90</v>
      </c>
      <c r="C12" s="102">
        <v>11010400</v>
      </c>
      <c r="D12" s="103">
        <v>6500</v>
      </c>
      <c r="E12" s="103">
        <f t="shared" si="3"/>
        <v>6500</v>
      </c>
      <c r="F12" s="140">
        <v>10663.92</v>
      </c>
      <c r="G12" s="103">
        <f t="shared" si="0"/>
        <v>4163.92</v>
      </c>
      <c r="H12" s="30">
        <f t="shared" si="4"/>
        <v>164.06030769230767</v>
      </c>
      <c r="I12" s="104">
        <f t="shared" si="5"/>
        <v>4163.92</v>
      </c>
      <c r="J12" s="104">
        <f t="shared" si="6"/>
        <v>164.06030769230767</v>
      </c>
      <c r="K12" s="106">
        <v>5604.18</v>
      </c>
      <c r="L12" s="106">
        <f t="shared" si="1"/>
        <v>5059.74</v>
      </c>
      <c r="M12" s="209">
        <f t="shared" si="2"/>
        <v>1.9028510861535495</v>
      </c>
      <c r="N12" s="105">
        <f>E12-листопад!E12</f>
        <v>39.39000000000033</v>
      </c>
      <c r="O12" s="144">
        <f>F12-листопад!F12</f>
        <v>1345.9899999999998</v>
      </c>
      <c r="P12" s="106">
        <f t="shared" si="7"/>
        <v>1306.5999999999995</v>
      </c>
      <c r="Q12" s="158">
        <f t="shared" si="8"/>
        <v>3417.0855547092883</v>
      </c>
      <c r="R12" s="37"/>
      <c r="S12" s="94"/>
      <c r="T12" s="147">
        <f t="shared" si="9"/>
        <v>0</v>
      </c>
    </row>
    <row r="13" spans="1:20" s="6" customFormat="1" ht="18" hidden="1">
      <c r="A13" s="8"/>
      <c r="B13" s="121" t="s">
        <v>88</v>
      </c>
      <c r="C13" s="102">
        <v>11010500</v>
      </c>
      <c r="D13" s="103">
        <v>12400</v>
      </c>
      <c r="E13" s="103">
        <f t="shared" si="3"/>
        <v>12400</v>
      </c>
      <c r="F13" s="140">
        <v>9532.64</v>
      </c>
      <c r="G13" s="103">
        <f t="shared" si="0"/>
        <v>-2867.3600000000006</v>
      </c>
      <c r="H13" s="30">
        <f t="shared" si="4"/>
        <v>76.87612903225805</v>
      </c>
      <c r="I13" s="104">
        <f t="shared" si="5"/>
        <v>-2867.3600000000006</v>
      </c>
      <c r="J13" s="104">
        <f t="shared" si="6"/>
        <v>76.87612903225805</v>
      </c>
      <c r="K13" s="106">
        <v>7282.62</v>
      </c>
      <c r="L13" s="106">
        <f t="shared" si="1"/>
        <v>2250.0199999999995</v>
      </c>
      <c r="M13" s="209">
        <f t="shared" si="2"/>
        <v>1.3089574905734473</v>
      </c>
      <c r="N13" s="105">
        <f>E13-листопад!E13</f>
        <v>985.1599999999999</v>
      </c>
      <c r="O13" s="144">
        <f>F13-листопад!F13</f>
        <v>632.5100000000002</v>
      </c>
      <c r="P13" s="106">
        <f t="shared" si="7"/>
        <v>-352.64999999999964</v>
      </c>
      <c r="Q13" s="158">
        <f t="shared" si="8"/>
        <v>64.20378415688826</v>
      </c>
      <c r="R13" s="37"/>
      <c r="S13" s="94"/>
      <c r="T13" s="147">
        <f t="shared" si="9"/>
        <v>0</v>
      </c>
    </row>
    <row r="14" spans="1:22" s="6" customFormat="1" ht="18" hidden="1">
      <c r="A14" s="8"/>
      <c r="B14" s="121" t="s">
        <v>89</v>
      </c>
      <c r="C14" s="102">
        <v>11010900</v>
      </c>
      <c r="D14" s="103">
        <v>3480</v>
      </c>
      <c r="E14" s="103">
        <f t="shared" si="3"/>
        <v>3480</v>
      </c>
      <c r="F14" s="140">
        <v>3120.73</v>
      </c>
      <c r="G14" s="103">
        <f t="shared" si="0"/>
        <v>-359.27</v>
      </c>
      <c r="H14" s="30">
        <f t="shared" si="4"/>
        <v>89.67614942528735</v>
      </c>
      <c r="I14" s="104">
        <f t="shared" si="5"/>
        <v>-359.27</v>
      </c>
      <c r="J14" s="104">
        <f t="shared" si="6"/>
        <v>89.67614942528735</v>
      </c>
      <c r="K14" s="106">
        <v>9236.82</v>
      </c>
      <c r="L14" s="106">
        <f t="shared" si="1"/>
        <v>-6116.09</v>
      </c>
      <c r="M14" s="209">
        <f t="shared" si="2"/>
        <v>0.337857617664954</v>
      </c>
      <c r="N14" s="105">
        <f>E14-листопад!E14</f>
        <v>-0.03999999999996362</v>
      </c>
      <c r="O14" s="144">
        <f>F14-листопад!F14</f>
        <v>152.57000000000016</v>
      </c>
      <c r="P14" s="106">
        <f t="shared" si="7"/>
        <v>152.61000000000013</v>
      </c>
      <c r="Q14" s="158">
        <f t="shared" si="8"/>
        <v>-381425.0000003473</v>
      </c>
      <c r="R14" s="37"/>
      <c r="S14" s="94"/>
      <c r="T14" s="147">
        <f t="shared" si="9"/>
        <v>0</v>
      </c>
      <c r="U14" s="229">
        <v>2880</v>
      </c>
      <c r="V14" s="147"/>
    </row>
    <row r="15" spans="1:20" s="6" customFormat="1" ht="30.75">
      <c r="A15" s="8"/>
      <c r="B15" s="12" t="s">
        <v>11</v>
      </c>
      <c r="C15" s="43">
        <v>11020200</v>
      </c>
      <c r="D15" s="150">
        <v>500</v>
      </c>
      <c r="E15" s="150">
        <f t="shared" si="3"/>
        <v>500</v>
      </c>
      <c r="F15" s="156">
        <v>459.29</v>
      </c>
      <c r="G15" s="150">
        <f t="shared" si="0"/>
        <v>-40.70999999999998</v>
      </c>
      <c r="H15" s="157">
        <f>F15/E15*100</f>
        <v>91.858</v>
      </c>
      <c r="I15" s="158">
        <f t="shared" si="5"/>
        <v>-40.70999999999998</v>
      </c>
      <c r="J15" s="158">
        <f t="shared" si="6"/>
        <v>91.858</v>
      </c>
      <c r="K15" s="161">
        <v>-522.93</v>
      </c>
      <c r="L15" s="161">
        <f t="shared" si="1"/>
        <v>982.22</v>
      </c>
      <c r="M15" s="210">
        <f t="shared" si="2"/>
        <v>-0.8783011110473679</v>
      </c>
      <c r="N15" s="157">
        <f>E15-листопад!E15</f>
        <v>5</v>
      </c>
      <c r="O15" s="160">
        <f>F15-листопад!F15</f>
        <v>51.18000000000001</v>
      </c>
      <c r="P15" s="161">
        <f t="shared" si="7"/>
        <v>46.18000000000001</v>
      </c>
      <c r="Q15" s="158">
        <f t="shared" si="8"/>
        <v>1023.6</v>
      </c>
      <c r="R15" s="37"/>
      <c r="S15" s="94"/>
      <c r="T15" s="147">
        <f t="shared" si="9"/>
        <v>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50">
        <f t="shared" si="3"/>
        <v>0</v>
      </c>
      <c r="F16" s="140">
        <v>0</v>
      </c>
      <c r="G16" s="34">
        <f t="shared" si="0"/>
        <v>0</v>
      </c>
      <c r="H16" s="30" t="e">
        <f t="shared" si="4"/>
        <v>#DIV/0!</v>
      </c>
      <c r="I16" s="37">
        <f t="shared" si="5"/>
        <v>0</v>
      </c>
      <c r="J16" s="37" t="e">
        <f t="shared" si="6"/>
        <v>#DIV/0!</v>
      </c>
      <c r="K16" s="106">
        <v>381.9</v>
      </c>
      <c r="L16" s="161">
        <f t="shared" si="1"/>
        <v>-381.9</v>
      </c>
      <c r="M16" s="210">
        <f t="shared" si="2"/>
        <v>0</v>
      </c>
      <c r="N16" s="157">
        <f>E16-листопад!E16</f>
        <v>0</v>
      </c>
      <c r="O16" s="160">
        <f>F16-листопад!F16</f>
        <v>0</v>
      </c>
      <c r="P16" s="36">
        <f t="shared" si="7"/>
        <v>0</v>
      </c>
      <c r="Q16" s="158" t="e">
        <f t="shared" si="8"/>
        <v>#DIV/0!</v>
      </c>
      <c r="R16" s="104">
        <f>O16-358.81</f>
        <v>-358.81</v>
      </c>
      <c r="S16" s="109">
        <f>O16/358.79</f>
        <v>0</v>
      </c>
      <c r="T16" s="147">
        <f t="shared" si="9"/>
        <v>0</v>
      </c>
    </row>
    <row r="17" spans="1:20" s="6" customFormat="1" ht="30.75">
      <c r="A17" s="8"/>
      <c r="B17" s="44" t="s">
        <v>142</v>
      </c>
      <c r="C17" s="120">
        <v>13010200</v>
      </c>
      <c r="D17" s="162">
        <v>0</v>
      </c>
      <c r="E17" s="150">
        <f t="shared" si="3"/>
        <v>0</v>
      </c>
      <c r="F17" s="163">
        <v>0.17</v>
      </c>
      <c r="G17" s="162">
        <f t="shared" si="0"/>
        <v>0.17</v>
      </c>
      <c r="H17" s="164"/>
      <c r="I17" s="165">
        <f t="shared" si="5"/>
        <v>0.17</v>
      </c>
      <c r="J17" s="165"/>
      <c r="K17" s="167">
        <v>0.14</v>
      </c>
      <c r="L17" s="161">
        <f t="shared" si="1"/>
        <v>0.03</v>
      </c>
      <c r="M17" s="210">
        <f t="shared" si="2"/>
        <v>1.2142857142857142</v>
      </c>
      <c r="N17" s="157">
        <f>E17-листопад!E17</f>
        <v>0</v>
      </c>
      <c r="O17" s="160">
        <f>F17-листопад!F17</f>
        <v>0</v>
      </c>
      <c r="P17" s="167">
        <f t="shared" si="7"/>
        <v>0</v>
      </c>
      <c r="Q17" s="158"/>
      <c r="R17" s="104"/>
      <c r="S17" s="109"/>
      <c r="T17" s="147">
        <f t="shared" si="9"/>
        <v>0</v>
      </c>
    </row>
    <row r="18" spans="1:20" s="6" customFormat="1" ht="30.75">
      <c r="A18" s="8"/>
      <c r="B18" s="13" t="s">
        <v>143</v>
      </c>
      <c r="C18" s="43">
        <v>13030200</v>
      </c>
      <c r="D18" s="150">
        <v>105.8</v>
      </c>
      <c r="E18" s="150">
        <f t="shared" si="3"/>
        <v>105.8</v>
      </c>
      <c r="F18" s="156">
        <v>124.7</v>
      </c>
      <c r="G18" s="150">
        <f t="shared" si="0"/>
        <v>18.900000000000006</v>
      </c>
      <c r="H18" s="157">
        <f t="shared" si="4"/>
        <v>117.86389413988658</v>
      </c>
      <c r="I18" s="158">
        <f t="shared" si="5"/>
        <v>18.900000000000006</v>
      </c>
      <c r="J18" s="158">
        <f t="shared" si="6"/>
        <v>117.86389413988658</v>
      </c>
      <c r="K18" s="161">
        <v>107.4</v>
      </c>
      <c r="L18" s="161">
        <f t="shared" si="1"/>
        <v>17.299999999999997</v>
      </c>
      <c r="M18" s="210">
        <f t="shared" si="2"/>
        <v>1.1610800744878957</v>
      </c>
      <c r="N18" s="157">
        <f>E18-листопад!E18</f>
        <v>0</v>
      </c>
      <c r="O18" s="160">
        <f>F18-листопад!F18</f>
        <v>0</v>
      </c>
      <c r="P18" s="161">
        <f t="shared" si="7"/>
        <v>0</v>
      </c>
      <c r="Q18" s="158"/>
      <c r="R18" s="37"/>
      <c r="S18" s="94"/>
      <c r="T18" s="147">
        <f t="shared" si="9"/>
        <v>0</v>
      </c>
    </row>
    <row r="19" spans="1:21" s="6" customFormat="1" ht="46.5">
      <c r="A19" s="8"/>
      <c r="B19" s="44" t="s">
        <v>72</v>
      </c>
      <c r="C19" s="43">
        <v>14040000</v>
      </c>
      <c r="D19" s="150">
        <f>109900-8900</f>
        <v>101000</v>
      </c>
      <c r="E19" s="150">
        <f t="shared" si="3"/>
        <v>101000</v>
      </c>
      <c r="F19" s="156">
        <v>101799.72</v>
      </c>
      <c r="G19" s="150">
        <f t="shared" si="0"/>
        <v>799.7200000000012</v>
      </c>
      <c r="H19" s="157">
        <f t="shared" si="4"/>
        <v>100.79180198019802</v>
      </c>
      <c r="I19" s="158">
        <f t="shared" si="5"/>
        <v>799.7200000000012</v>
      </c>
      <c r="J19" s="158">
        <f t="shared" si="6"/>
        <v>100.79180198019802</v>
      </c>
      <c r="K19" s="169">
        <v>70426.38</v>
      </c>
      <c r="L19" s="161">
        <f t="shared" si="1"/>
        <v>31373.339999999997</v>
      </c>
      <c r="M19" s="216">
        <f t="shared" si="2"/>
        <v>1.4454771067318808</v>
      </c>
      <c r="N19" s="157">
        <f>E19-листопад!E19</f>
        <v>-400.3999999999942</v>
      </c>
      <c r="O19" s="160">
        <f>F19-листопад!F19</f>
        <v>9007.930000000008</v>
      </c>
      <c r="P19" s="161">
        <f t="shared" si="7"/>
        <v>9408.330000000002</v>
      </c>
      <c r="Q19" s="158">
        <f aca="true" t="shared" si="10" ref="Q19:Q24">O19/N19*100</f>
        <v>-2249.732767232802</v>
      </c>
      <c r="R19" s="107"/>
      <c r="S19" s="108"/>
      <c r="T19" s="147">
        <f t="shared" si="9"/>
        <v>0</v>
      </c>
      <c r="U19" s="6">
        <v>3348</v>
      </c>
    </row>
    <row r="20" spans="1:20" s="6" customFormat="1" ht="18">
      <c r="A20" s="8"/>
      <c r="B20" s="117" t="s">
        <v>74</v>
      </c>
      <c r="C20" s="43">
        <v>18000000</v>
      </c>
      <c r="D20" s="150">
        <f>D21+D30+D32+D29</f>
        <v>336159.65</v>
      </c>
      <c r="E20" s="150">
        <f>E21+E30+E32+E29</f>
        <v>336159.65</v>
      </c>
      <c r="F20" s="228">
        <f>F21+F29+F30+F31+F32</f>
        <v>340503.51</v>
      </c>
      <c r="G20" s="150">
        <f t="shared" si="0"/>
        <v>4343.859999999986</v>
      </c>
      <c r="H20" s="157">
        <f t="shared" si="4"/>
        <v>101.2922014881917</v>
      </c>
      <c r="I20" s="158">
        <f t="shared" si="5"/>
        <v>4343.859999999986</v>
      </c>
      <c r="J20" s="158">
        <f t="shared" si="6"/>
        <v>101.2922014881917</v>
      </c>
      <c r="K20" s="158">
        <v>223108.59</v>
      </c>
      <c r="L20" s="161">
        <f t="shared" si="1"/>
        <v>117394.92000000001</v>
      </c>
      <c r="M20" s="211">
        <f t="shared" si="2"/>
        <v>1.5261783959102606</v>
      </c>
      <c r="N20" s="157">
        <f>N21+N30+N31+N32</f>
        <v>35459.669999999984</v>
      </c>
      <c r="O20" s="160">
        <f>F20-листопад!F20</f>
        <v>23272.560000000056</v>
      </c>
      <c r="P20" s="161">
        <f t="shared" si="7"/>
        <v>-12187.109999999928</v>
      </c>
      <c r="Q20" s="158">
        <f t="shared" si="10"/>
        <v>65.63106763260929</v>
      </c>
      <c r="R20" s="107"/>
      <c r="S20" s="108"/>
      <c r="T20" s="147">
        <f t="shared" si="9"/>
        <v>0</v>
      </c>
    </row>
    <row r="21" spans="1:20" s="6" customFormat="1" ht="18">
      <c r="A21" s="8"/>
      <c r="B21" s="44" t="s">
        <v>82</v>
      </c>
      <c r="C21" s="114">
        <v>18010000</v>
      </c>
      <c r="D21" s="150">
        <f>D22+D25+D26</f>
        <v>180544.65</v>
      </c>
      <c r="E21" s="150">
        <f>E22+E25+E26</f>
        <v>180544.65</v>
      </c>
      <c r="F21" s="170">
        <f>F22+F25+F26</f>
        <v>182295.05000000002</v>
      </c>
      <c r="G21" s="150">
        <f t="shared" si="0"/>
        <v>1750.4000000000233</v>
      </c>
      <c r="H21" s="157">
        <f t="shared" si="4"/>
        <v>100.96951086614862</v>
      </c>
      <c r="I21" s="158">
        <f t="shared" si="5"/>
        <v>1750.4000000000233</v>
      </c>
      <c r="J21" s="158">
        <f t="shared" si="6"/>
        <v>100.96951086614862</v>
      </c>
      <c r="K21" s="158">
        <v>119601.42</v>
      </c>
      <c r="L21" s="161">
        <f t="shared" si="1"/>
        <v>62693.63000000002</v>
      </c>
      <c r="M21" s="211">
        <f t="shared" si="2"/>
        <v>1.524188007132357</v>
      </c>
      <c r="N21" s="157">
        <f>N22+N25+N26</f>
        <v>17581.22999999998</v>
      </c>
      <c r="O21" s="160">
        <f>F21-листопад!F21</f>
        <v>15034.950000000012</v>
      </c>
      <c r="P21" s="161">
        <f t="shared" si="7"/>
        <v>-2546.2799999999697</v>
      </c>
      <c r="Q21" s="158">
        <f t="shared" si="10"/>
        <v>85.51705426753435</v>
      </c>
      <c r="R21" s="107"/>
      <c r="S21" s="108"/>
      <c r="T21" s="147">
        <f t="shared" si="9"/>
        <v>0</v>
      </c>
    </row>
    <row r="22" spans="1:21" s="6" customFormat="1" ht="18">
      <c r="A22" s="8"/>
      <c r="B22" s="50" t="s">
        <v>75</v>
      </c>
      <c r="C22" s="123"/>
      <c r="D22" s="171">
        <f>18500+2500</f>
        <v>21000</v>
      </c>
      <c r="E22" s="171">
        <f aca="true" t="shared" si="11" ref="E22:E30">D22</f>
        <v>21000</v>
      </c>
      <c r="F22" s="172">
        <v>21482.16</v>
      </c>
      <c r="G22" s="171">
        <f t="shared" si="0"/>
        <v>482.15999999999985</v>
      </c>
      <c r="H22" s="173">
        <f t="shared" si="4"/>
        <v>102.296</v>
      </c>
      <c r="I22" s="174">
        <f t="shared" si="5"/>
        <v>482.15999999999985</v>
      </c>
      <c r="J22" s="174">
        <f t="shared" si="6"/>
        <v>102.296</v>
      </c>
      <c r="K22" s="175">
        <v>13340.12</v>
      </c>
      <c r="L22" s="166">
        <f t="shared" si="1"/>
        <v>8142.039999999999</v>
      </c>
      <c r="M22" s="219">
        <f t="shared" si="2"/>
        <v>1.6103423357511026</v>
      </c>
      <c r="N22" s="173">
        <f>E22-листопад!E22</f>
        <v>3275.5999999999985</v>
      </c>
      <c r="O22" s="176">
        <f>F22-листопад!F22</f>
        <v>746</v>
      </c>
      <c r="P22" s="177">
        <f t="shared" si="7"/>
        <v>-2529.5999999999985</v>
      </c>
      <c r="Q22" s="174">
        <f t="shared" si="10"/>
        <v>22.774453535230197</v>
      </c>
      <c r="R22" s="107"/>
      <c r="S22" s="108"/>
      <c r="T22" s="147">
        <f t="shared" si="9"/>
        <v>0</v>
      </c>
      <c r="U22" s="147"/>
    </row>
    <row r="23" spans="1:21" s="6" customFormat="1" ht="18" hidden="1">
      <c r="A23" s="8"/>
      <c r="B23" s="196" t="s">
        <v>112</v>
      </c>
      <c r="C23" s="197"/>
      <c r="D23" s="200">
        <v>2000</v>
      </c>
      <c r="E23" s="200">
        <f t="shared" si="11"/>
        <v>2000</v>
      </c>
      <c r="F23" s="163">
        <v>842.7</v>
      </c>
      <c r="G23" s="200">
        <f t="shared" si="0"/>
        <v>-1157.3</v>
      </c>
      <c r="H23" s="201">
        <f t="shared" si="4"/>
        <v>42.135</v>
      </c>
      <c r="I23" s="202">
        <f t="shared" si="5"/>
        <v>-1157.3</v>
      </c>
      <c r="J23" s="202">
        <f t="shared" si="6"/>
        <v>42.135</v>
      </c>
      <c r="K23" s="202">
        <v>716.11</v>
      </c>
      <c r="L23" s="202">
        <f t="shared" si="1"/>
        <v>126.59000000000003</v>
      </c>
      <c r="M23" s="233">
        <f t="shared" si="2"/>
        <v>1.1767745178813311</v>
      </c>
      <c r="N23" s="201">
        <f>E23-листопад!E23</f>
        <v>575.5999999999999</v>
      </c>
      <c r="O23" s="201">
        <f>F23-листопад!F23</f>
        <v>25.850000000000023</v>
      </c>
      <c r="P23" s="202">
        <f t="shared" si="7"/>
        <v>-549.7499999999999</v>
      </c>
      <c r="Q23" s="202">
        <f t="shared" si="10"/>
        <v>4.490965948575405</v>
      </c>
      <c r="R23" s="107"/>
      <c r="S23" s="108"/>
      <c r="T23" s="147">
        <f t="shared" si="9"/>
        <v>0</v>
      </c>
      <c r="U23" s="147"/>
    </row>
    <row r="24" spans="1:21" s="6" customFormat="1" ht="18" hidden="1">
      <c r="A24" s="8"/>
      <c r="B24" s="196" t="s">
        <v>113</v>
      </c>
      <c r="C24" s="197"/>
      <c r="D24" s="200">
        <f>16500+2500</f>
        <v>19000</v>
      </c>
      <c r="E24" s="200">
        <f t="shared" si="11"/>
        <v>19000</v>
      </c>
      <c r="F24" s="163">
        <v>20639.46</v>
      </c>
      <c r="G24" s="200">
        <f t="shared" si="0"/>
        <v>1639.4599999999991</v>
      </c>
      <c r="H24" s="201">
        <f t="shared" si="4"/>
        <v>108.62873684210525</v>
      </c>
      <c r="I24" s="202">
        <f t="shared" si="5"/>
        <v>1639.4599999999991</v>
      </c>
      <c r="J24" s="202">
        <f t="shared" si="6"/>
        <v>108.62873684210525</v>
      </c>
      <c r="K24" s="202">
        <v>12624.02</v>
      </c>
      <c r="L24" s="202">
        <f t="shared" si="1"/>
        <v>8015.439999999999</v>
      </c>
      <c r="M24" s="233">
        <f t="shared" si="2"/>
        <v>1.6349356227255658</v>
      </c>
      <c r="N24" s="201">
        <f>E24-листопад!E24</f>
        <v>2700</v>
      </c>
      <c r="O24" s="201">
        <f>F24-листопад!F24</f>
        <v>720.1499999999978</v>
      </c>
      <c r="P24" s="202">
        <f t="shared" si="7"/>
        <v>-1979.8500000000022</v>
      </c>
      <c r="Q24" s="202">
        <f t="shared" si="10"/>
        <v>26.672222222222143</v>
      </c>
      <c r="R24" s="107"/>
      <c r="S24" s="108"/>
      <c r="T24" s="147">
        <f t="shared" si="9"/>
        <v>0</v>
      </c>
      <c r="U24" s="147"/>
    </row>
    <row r="25" spans="1:20" s="6" customFormat="1" ht="18">
      <c r="A25" s="8"/>
      <c r="B25" s="50" t="s">
        <v>76</v>
      </c>
      <c r="C25" s="123"/>
      <c r="D25" s="171">
        <f>1000-155</f>
        <v>845</v>
      </c>
      <c r="E25" s="171">
        <f t="shared" si="11"/>
        <v>845</v>
      </c>
      <c r="F25" s="172">
        <v>701.85</v>
      </c>
      <c r="G25" s="171">
        <f t="shared" si="0"/>
        <v>-143.14999999999998</v>
      </c>
      <c r="H25" s="173">
        <f t="shared" si="4"/>
        <v>83.05917159763314</v>
      </c>
      <c r="I25" s="174">
        <f t="shared" si="5"/>
        <v>-143.14999999999998</v>
      </c>
      <c r="J25" s="174">
        <f t="shared" si="6"/>
        <v>83.05917159763314</v>
      </c>
      <c r="K25" s="174">
        <v>3879.26</v>
      </c>
      <c r="L25" s="174">
        <f t="shared" si="1"/>
        <v>-3177.4100000000003</v>
      </c>
      <c r="M25" s="214">
        <f t="shared" si="2"/>
        <v>0.18092368132066425</v>
      </c>
      <c r="N25" s="173">
        <f>E25-листопад!E25</f>
        <v>-135.03999999999996</v>
      </c>
      <c r="O25" s="176">
        <f>F25-листопад!F25</f>
        <v>-85.51999999999998</v>
      </c>
      <c r="P25" s="177">
        <f t="shared" si="7"/>
        <v>49.51999999999998</v>
      </c>
      <c r="Q25" s="174"/>
      <c r="R25" s="107"/>
      <c r="S25" s="108"/>
      <c r="T25" s="147">
        <f t="shared" si="9"/>
        <v>0</v>
      </c>
    </row>
    <row r="26" spans="1:20" s="6" customFormat="1" ht="18">
      <c r="A26" s="8"/>
      <c r="B26" s="50" t="s">
        <v>77</v>
      </c>
      <c r="C26" s="123"/>
      <c r="D26" s="171">
        <v>158699.65</v>
      </c>
      <c r="E26" s="171">
        <f t="shared" si="11"/>
        <v>158699.65</v>
      </c>
      <c r="F26" s="172">
        <v>160111.04</v>
      </c>
      <c r="G26" s="171">
        <f t="shared" si="0"/>
        <v>1411.390000000014</v>
      </c>
      <c r="H26" s="173">
        <f t="shared" si="4"/>
        <v>100.88934663687034</v>
      </c>
      <c r="I26" s="174">
        <f t="shared" si="5"/>
        <v>1411.390000000014</v>
      </c>
      <c r="J26" s="174">
        <f t="shared" si="6"/>
        <v>100.88934663687034</v>
      </c>
      <c r="K26" s="175">
        <v>102382.03</v>
      </c>
      <c r="L26" s="175">
        <f t="shared" si="1"/>
        <v>57729.01000000001</v>
      </c>
      <c r="M26" s="213">
        <f t="shared" si="2"/>
        <v>1.5638588138953682</v>
      </c>
      <c r="N26" s="173">
        <f>E26-листопад!E26</f>
        <v>14440.669999999984</v>
      </c>
      <c r="O26" s="176">
        <f>F26-листопад!F26</f>
        <v>14374.470000000001</v>
      </c>
      <c r="P26" s="177">
        <f t="shared" si="7"/>
        <v>-66.19999999998254</v>
      </c>
      <c r="Q26" s="174">
        <f>O26/N26*100</f>
        <v>99.54157251706476</v>
      </c>
      <c r="R26" s="107"/>
      <c r="S26" s="108"/>
      <c r="T26" s="147">
        <f t="shared" si="9"/>
        <v>0</v>
      </c>
    </row>
    <row r="27" spans="1:20" s="6" customFormat="1" ht="18" hidden="1">
      <c r="A27" s="8"/>
      <c r="B27" s="196" t="s">
        <v>114</v>
      </c>
      <c r="C27" s="197"/>
      <c r="D27" s="200">
        <f>47367+1218+1182</f>
        <v>49767</v>
      </c>
      <c r="E27" s="200">
        <f t="shared" si="11"/>
        <v>49767</v>
      </c>
      <c r="F27" s="163">
        <v>49911.97</v>
      </c>
      <c r="G27" s="200">
        <f t="shared" si="0"/>
        <v>144.97000000000116</v>
      </c>
      <c r="H27" s="201">
        <f t="shared" si="4"/>
        <v>100.29129744609881</v>
      </c>
      <c r="I27" s="202">
        <f t="shared" si="5"/>
        <v>144.97000000000116</v>
      </c>
      <c r="J27" s="202">
        <f t="shared" si="6"/>
        <v>100.29129744609881</v>
      </c>
      <c r="K27" s="202">
        <v>27811.39</v>
      </c>
      <c r="L27" s="202">
        <f t="shared" si="1"/>
        <v>22100.58</v>
      </c>
      <c r="M27" s="233">
        <f t="shared" si="2"/>
        <v>1.7946593104479855</v>
      </c>
      <c r="N27" s="201">
        <f>E27-листопад!E27</f>
        <v>5355.199999999997</v>
      </c>
      <c r="O27" s="201">
        <f>F27-листопад!F27</f>
        <v>3909.3499999999985</v>
      </c>
      <c r="P27" s="202">
        <f t="shared" si="7"/>
        <v>-1445.8499999999985</v>
      </c>
      <c r="Q27" s="202">
        <f>O27/N27*100</f>
        <v>73.00100836570064</v>
      </c>
      <c r="R27" s="107"/>
      <c r="S27" s="108"/>
      <c r="T27" s="147">
        <f t="shared" si="9"/>
        <v>0</v>
      </c>
    </row>
    <row r="28" spans="1:20" s="6" customFormat="1" ht="18" hidden="1">
      <c r="A28" s="8"/>
      <c r="B28" s="196" t="s">
        <v>115</v>
      </c>
      <c r="C28" s="197"/>
      <c r="D28" s="200">
        <f>108032.65+200+700</f>
        <v>108932.65</v>
      </c>
      <c r="E28" s="200">
        <f t="shared" si="11"/>
        <v>108932.65</v>
      </c>
      <c r="F28" s="163">
        <v>110199.06</v>
      </c>
      <c r="G28" s="200">
        <f t="shared" si="0"/>
        <v>1266.4100000000035</v>
      </c>
      <c r="H28" s="201">
        <f t="shared" si="4"/>
        <v>101.16256237225478</v>
      </c>
      <c r="I28" s="202">
        <f t="shared" si="5"/>
        <v>1266.4100000000035</v>
      </c>
      <c r="J28" s="202">
        <f t="shared" si="6"/>
        <v>101.16256237225478</v>
      </c>
      <c r="K28" s="202">
        <v>74570.64</v>
      </c>
      <c r="L28" s="202">
        <f t="shared" si="1"/>
        <v>35628.42</v>
      </c>
      <c r="M28" s="233">
        <f t="shared" si="2"/>
        <v>1.4777807995210983</v>
      </c>
      <c r="N28" s="201">
        <f>E28-листопад!E28</f>
        <v>9085.479999999996</v>
      </c>
      <c r="O28" s="201">
        <f>F28-листопад!F28</f>
        <v>10465.11</v>
      </c>
      <c r="P28" s="202">
        <f t="shared" si="7"/>
        <v>1379.6300000000047</v>
      </c>
      <c r="Q28" s="202">
        <f>O28/N28*100</f>
        <v>115.18499848109296</v>
      </c>
      <c r="R28" s="107"/>
      <c r="S28" s="108"/>
      <c r="T28" s="147">
        <f t="shared" si="9"/>
        <v>0</v>
      </c>
    </row>
    <row r="29" spans="1:20" s="6" customFormat="1" ht="18">
      <c r="A29" s="8"/>
      <c r="B29" s="44" t="s">
        <v>125</v>
      </c>
      <c r="C29" s="227">
        <v>18020000</v>
      </c>
      <c r="D29" s="162">
        <v>0</v>
      </c>
      <c r="E29" s="162">
        <f t="shared" si="11"/>
        <v>0</v>
      </c>
      <c r="F29" s="201">
        <v>0.15</v>
      </c>
      <c r="G29" s="150">
        <f t="shared" si="0"/>
        <v>0.15</v>
      </c>
      <c r="H29" s="157"/>
      <c r="I29" s="158">
        <f t="shared" si="5"/>
        <v>0.15</v>
      </c>
      <c r="J29" s="158"/>
      <c r="K29" s="167">
        <v>0</v>
      </c>
      <c r="L29" s="158">
        <f t="shared" si="1"/>
        <v>0.15</v>
      </c>
      <c r="M29" s="212"/>
      <c r="N29" s="157">
        <f>E29-листопад!E29</f>
        <v>0</v>
      </c>
      <c r="O29" s="160">
        <f>F29-листопад!F29</f>
        <v>0</v>
      </c>
      <c r="P29" s="161">
        <f t="shared" si="7"/>
        <v>0</v>
      </c>
      <c r="Q29" s="158"/>
      <c r="R29" s="107"/>
      <c r="S29" s="108"/>
      <c r="T29" s="147">
        <f t="shared" si="9"/>
        <v>0</v>
      </c>
    </row>
    <row r="30" spans="1:20" s="6" customFormat="1" ht="18">
      <c r="A30" s="8"/>
      <c r="B30" s="44" t="s">
        <v>83</v>
      </c>
      <c r="C30" s="114">
        <v>18030000</v>
      </c>
      <c r="D30" s="150">
        <f>77+38</f>
        <v>115</v>
      </c>
      <c r="E30" s="150">
        <f t="shared" si="11"/>
        <v>115</v>
      </c>
      <c r="F30" s="156">
        <v>117.68</v>
      </c>
      <c r="G30" s="150">
        <f t="shared" si="0"/>
        <v>2.680000000000007</v>
      </c>
      <c r="H30" s="157">
        <f t="shared" si="4"/>
        <v>102.3304347826087</v>
      </c>
      <c r="I30" s="158">
        <f t="shared" si="5"/>
        <v>2.680000000000007</v>
      </c>
      <c r="J30" s="158">
        <f t="shared" si="6"/>
        <v>102.3304347826087</v>
      </c>
      <c r="K30" s="158">
        <v>76.57</v>
      </c>
      <c r="L30" s="158">
        <f t="shared" si="1"/>
        <v>41.110000000000014</v>
      </c>
      <c r="M30" s="212">
        <f>F30/K30</f>
        <v>1.536894345043751</v>
      </c>
      <c r="N30" s="157">
        <f>E30-листопад!E30</f>
        <v>44.19</v>
      </c>
      <c r="O30" s="160">
        <f>F30-листопад!F30</f>
        <v>3</v>
      </c>
      <c r="P30" s="161">
        <f t="shared" si="7"/>
        <v>-41.19</v>
      </c>
      <c r="Q30" s="158">
        <f>O30/N30*100</f>
        <v>6.788866259334691</v>
      </c>
      <c r="R30" s="107"/>
      <c r="S30" s="108"/>
      <c r="T30" s="147">
        <f t="shared" si="9"/>
        <v>0</v>
      </c>
    </row>
    <row r="31" spans="1:20" s="6" customFormat="1" ht="49.5" customHeight="1">
      <c r="A31" s="8"/>
      <c r="B31" s="44" t="s">
        <v>84</v>
      </c>
      <c r="C31" s="114">
        <v>18040000</v>
      </c>
      <c r="D31" s="150"/>
      <c r="E31" s="150"/>
      <c r="F31" s="156">
        <v>-177.97</v>
      </c>
      <c r="G31" s="150">
        <f t="shared" si="0"/>
        <v>-177.97</v>
      </c>
      <c r="H31" s="157"/>
      <c r="I31" s="158">
        <f t="shared" si="5"/>
        <v>-177.97</v>
      </c>
      <c r="J31" s="158"/>
      <c r="K31" s="158">
        <v>-838.98</v>
      </c>
      <c r="L31" s="158">
        <f t="shared" si="1"/>
        <v>661.01</v>
      </c>
      <c r="M31" s="212">
        <f>F31/K31</f>
        <v>0.21212662995542206</v>
      </c>
      <c r="N31" s="157">
        <f>E31-листопад!E31</f>
        <v>0</v>
      </c>
      <c r="O31" s="160">
        <f>F31-листопад!F31</f>
        <v>-4</v>
      </c>
      <c r="P31" s="161">
        <f t="shared" si="7"/>
        <v>-4</v>
      </c>
      <c r="Q31" s="158"/>
      <c r="R31" s="107"/>
      <c r="S31" s="108"/>
      <c r="T31" s="147">
        <f t="shared" si="9"/>
        <v>0</v>
      </c>
    </row>
    <row r="32" spans="1:20" s="6" customFormat="1" ht="18">
      <c r="A32" s="8"/>
      <c r="B32" s="44" t="s">
        <v>85</v>
      </c>
      <c r="C32" s="114">
        <v>18050000</v>
      </c>
      <c r="D32" s="162">
        <f>118000+23000+4100+10400</f>
        <v>155500</v>
      </c>
      <c r="E32" s="162">
        <f>D32</f>
        <v>155500</v>
      </c>
      <c r="F32" s="163">
        <v>158268.6</v>
      </c>
      <c r="G32" s="162">
        <f t="shared" si="0"/>
        <v>2768.600000000006</v>
      </c>
      <c r="H32" s="164">
        <f t="shared" si="4"/>
        <v>101.78045016077171</v>
      </c>
      <c r="I32" s="165">
        <f t="shared" si="5"/>
        <v>2768.600000000006</v>
      </c>
      <c r="J32" s="165">
        <f t="shared" si="6"/>
        <v>101.78045016077171</v>
      </c>
      <c r="K32" s="178">
        <v>104269.58</v>
      </c>
      <c r="L32" s="178">
        <f>F32-K32</f>
        <v>53999.020000000004</v>
      </c>
      <c r="M32" s="231">
        <f>F32/K32</f>
        <v>1.5178789441752811</v>
      </c>
      <c r="N32" s="157">
        <f>E32-листопад!E32</f>
        <v>17834.25</v>
      </c>
      <c r="O32" s="160">
        <f>F32-листопад!F32</f>
        <v>8238.610000000015</v>
      </c>
      <c r="P32" s="167">
        <f t="shared" si="7"/>
        <v>-9595.639999999985</v>
      </c>
      <c r="Q32" s="165">
        <f>O32/N32*100</f>
        <v>46.19543855222404</v>
      </c>
      <c r="R32" s="107"/>
      <c r="S32" s="108"/>
      <c r="T32" s="147">
        <f t="shared" si="9"/>
        <v>0</v>
      </c>
    </row>
    <row r="33" spans="1:20" s="6" customFormat="1" ht="15" hidden="1">
      <c r="A33" s="8"/>
      <c r="B33" s="50" t="s">
        <v>92</v>
      </c>
      <c r="C33" s="102">
        <v>18050200</v>
      </c>
      <c r="D33" s="103">
        <v>0</v>
      </c>
      <c r="E33" s="103">
        <f>D33</f>
        <v>0</v>
      </c>
      <c r="F33" s="140">
        <v>0.23</v>
      </c>
      <c r="G33" s="103">
        <f t="shared" si="0"/>
        <v>0.23</v>
      </c>
      <c r="H33" s="105"/>
      <c r="I33" s="104">
        <f t="shared" si="5"/>
        <v>0.23</v>
      </c>
      <c r="J33" s="104"/>
      <c r="K33" s="127">
        <v>-1.15</v>
      </c>
      <c r="L33" s="127">
        <f t="shared" si="1"/>
        <v>1.38</v>
      </c>
      <c r="M33" s="221">
        <f aca="true" t="shared" si="12" ref="M33:M39">F33/K33</f>
        <v>-0.2</v>
      </c>
      <c r="N33" s="105">
        <f>E33-листопад!E33</f>
        <v>0</v>
      </c>
      <c r="O33" s="144">
        <f>F33-листопад!F33</f>
        <v>0</v>
      </c>
      <c r="P33" s="106">
        <f t="shared" si="7"/>
        <v>0</v>
      </c>
      <c r="Q33" s="104"/>
      <c r="R33" s="107"/>
      <c r="S33" s="108"/>
      <c r="T33" s="147">
        <f t="shared" si="9"/>
        <v>0</v>
      </c>
    </row>
    <row r="34" spans="1:20" s="6" customFormat="1" ht="15" hidden="1">
      <c r="A34" s="8"/>
      <c r="B34" s="50" t="s">
        <v>93</v>
      </c>
      <c r="C34" s="102">
        <v>18050300</v>
      </c>
      <c r="D34" s="103">
        <f>28217+6000+4100</f>
        <v>38317</v>
      </c>
      <c r="E34" s="103">
        <f>D34</f>
        <v>38317</v>
      </c>
      <c r="F34" s="140">
        <v>39173.72</v>
      </c>
      <c r="G34" s="103">
        <f t="shared" si="0"/>
        <v>856.7200000000012</v>
      </c>
      <c r="H34" s="105">
        <f t="shared" si="4"/>
        <v>102.23587441605555</v>
      </c>
      <c r="I34" s="104">
        <f t="shared" si="5"/>
        <v>856.7200000000012</v>
      </c>
      <c r="J34" s="104">
        <f t="shared" si="6"/>
        <v>102.23587441605555</v>
      </c>
      <c r="K34" s="127">
        <v>24618.58</v>
      </c>
      <c r="L34" s="127">
        <f t="shared" si="1"/>
        <v>14555.14</v>
      </c>
      <c r="M34" s="221">
        <f t="shared" si="12"/>
        <v>1.59122581399902</v>
      </c>
      <c r="N34" s="105">
        <f>E34-листопад!E34</f>
        <v>5054.029999999999</v>
      </c>
      <c r="O34" s="144">
        <f>F34-листопад!F34</f>
        <v>2027.5299999999988</v>
      </c>
      <c r="P34" s="106">
        <f t="shared" si="7"/>
        <v>-3026.5</v>
      </c>
      <c r="Q34" s="104">
        <f>O34/N34*100</f>
        <v>40.11709467494256</v>
      </c>
      <c r="R34" s="107"/>
      <c r="S34" s="108"/>
      <c r="T34" s="147">
        <f t="shared" si="9"/>
        <v>0</v>
      </c>
    </row>
    <row r="35" spans="1:20" s="6" customFormat="1" ht="15" hidden="1">
      <c r="A35" s="8"/>
      <c r="B35" s="50" t="s">
        <v>94</v>
      </c>
      <c r="C35" s="102">
        <v>18050400</v>
      </c>
      <c r="D35" s="103">
        <f>89732+17000+10400</f>
        <v>117132</v>
      </c>
      <c r="E35" s="103">
        <f>D35</f>
        <v>117132</v>
      </c>
      <c r="F35" s="140">
        <v>119039.46</v>
      </c>
      <c r="G35" s="103">
        <f t="shared" si="0"/>
        <v>1907.4600000000064</v>
      </c>
      <c r="H35" s="105">
        <f t="shared" si="4"/>
        <v>101.6284704436021</v>
      </c>
      <c r="I35" s="104">
        <f t="shared" si="5"/>
        <v>1907.4600000000064</v>
      </c>
      <c r="J35" s="104">
        <f t="shared" si="6"/>
        <v>101.6284704436021</v>
      </c>
      <c r="K35" s="127">
        <v>79616.02</v>
      </c>
      <c r="L35" s="127">
        <f t="shared" si="1"/>
        <v>39423.44</v>
      </c>
      <c r="M35" s="221">
        <f t="shared" si="12"/>
        <v>1.495169690723048</v>
      </c>
      <c r="N35" s="105">
        <f>E35-листопад!E35</f>
        <v>12780.220000000001</v>
      </c>
      <c r="O35" s="144">
        <f>F35-листопад!F35</f>
        <v>6208.970000000001</v>
      </c>
      <c r="P35" s="106">
        <f t="shared" si="7"/>
        <v>-6571.25</v>
      </c>
      <c r="Q35" s="104">
        <f>O35/N35*100</f>
        <v>48.58265350674715</v>
      </c>
      <c r="R35" s="107"/>
      <c r="S35" s="108"/>
      <c r="T35" s="147">
        <f t="shared" si="9"/>
        <v>0</v>
      </c>
    </row>
    <row r="36" spans="1:20" s="6" customFormat="1" ht="15" hidden="1">
      <c r="A36" s="8"/>
      <c r="B36" s="50" t="s">
        <v>95</v>
      </c>
      <c r="C36" s="102">
        <v>18050500</v>
      </c>
      <c r="D36" s="103">
        <v>51</v>
      </c>
      <c r="E36" s="103">
        <f>D36</f>
        <v>51</v>
      </c>
      <c r="F36" s="140">
        <v>55.18</v>
      </c>
      <c r="G36" s="103">
        <f t="shared" si="0"/>
        <v>4.18</v>
      </c>
      <c r="H36" s="105">
        <f t="shared" si="4"/>
        <v>108.19607843137256</v>
      </c>
      <c r="I36" s="104">
        <f t="shared" si="5"/>
        <v>4.18</v>
      </c>
      <c r="J36" s="104">
        <f t="shared" si="6"/>
        <v>108.19607843137256</v>
      </c>
      <c r="K36" s="127">
        <v>36.13</v>
      </c>
      <c r="L36" s="127">
        <f t="shared" si="1"/>
        <v>19.049999999999997</v>
      </c>
      <c r="M36" s="221">
        <f t="shared" si="12"/>
        <v>1.5272626626072514</v>
      </c>
      <c r="N36" s="105">
        <f>E36-листопад!E36</f>
        <v>0</v>
      </c>
      <c r="O36" s="144">
        <f>F36-листопад!F36</f>
        <v>2.1000000000000014</v>
      </c>
      <c r="P36" s="106">
        <f t="shared" si="7"/>
        <v>2.1000000000000014</v>
      </c>
      <c r="Q36" s="104"/>
      <c r="R36" s="107"/>
      <c r="S36" s="108"/>
      <c r="T36" s="147">
        <f t="shared" si="9"/>
        <v>0</v>
      </c>
    </row>
    <row r="37" spans="1:20" s="6" customFormat="1" ht="15" customHeight="1" hidden="1">
      <c r="A37" s="8"/>
      <c r="B37" s="44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 t="shared" si="0"/>
        <v>0</v>
      </c>
      <c r="H37" s="30"/>
      <c r="I37" s="37">
        <f t="shared" si="5"/>
        <v>0</v>
      </c>
      <c r="J37" s="37"/>
      <c r="K37" s="119">
        <v>6768.9</v>
      </c>
      <c r="L37" s="119">
        <f t="shared" si="1"/>
        <v>-6768.9</v>
      </c>
      <c r="M37" s="222">
        <f t="shared" si="12"/>
        <v>0</v>
      </c>
      <c r="N37" s="137">
        <f>E37-листопад!E37</f>
        <v>0</v>
      </c>
      <c r="O37" s="145">
        <f>F37-листопад!F37</f>
        <v>0</v>
      </c>
      <c r="P37" s="36">
        <f t="shared" si="7"/>
        <v>0</v>
      </c>
      <c r="Q37" s="37"/>
      <c r="R37" s="107"/>
      <c r="S37" s="108"/>
      <c r="T37" s="147">
        <f t="shared" si="9"/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67352.08</v>
      </c>
      <c r="E38" s="151">
        <f>E39+E40+E41+E42+E43+E45+E47+E48+E49+E50+E51+E56+E57+E61+E44</f>
        <v>67352.08</v>
      </c>
      <c r="F38" s="151">
        <f>F39+F40+F41+F42+F43+F45+F47+F48+F49+F50+F51+F56+F57+F61+F44</f>
        <v>68752.68</v>
      </c>
      <c r="G38" s="151">
        <f>G39+G40+G41+G42+G43+G45+G47+G48+G49+G50+G51+G56+G57+G61</f>
        <v>1399.2300000000002</v>
      </c>
      <c r="H38" s="152">
        <f>F38/E38*100</f>
        <v>102.07952003857935</v>
      </c>
      <c r="I38" s="153">
        <f>F38-D38</f>
        <v>1400.5999999999913</v>
      </c>
      <c r="J38" s="153">
        <f>F38/D38*100</f>
        <v>102.07952003857935</v>
      </c>
      <c r="K38" s="151">
        <v>50680.75</v>
      </c>
      <c r="L38" s="151">
        <f t="shared" si="1"/>
        <v>18071.929999999993</v>
      </c>
      <c r="M38" s="207">
        <f t="shared" si="12"/>
        <v>1.3565837127508964</v>
      </c>
      <c r="N38" s="151">
        <f>N39+N40+N41+N42+N43+N45+N47+N48+N49+N50+N51+N56+N57+N61+N44</f>
        <v>8168.050000000001</v>
      </c>
      <c r="O38" s="151">
        <f>O39+O40+O41+O42+O43+O45+O47+O48+O49+O50+O51+O56+O57+O61+O44</f>
        <v>7664.740000000001</v>
      </c>
      <c r="P38" s="151">
        <f>P39+P40+P41+P42+P43+P45+P47+P48+P49+P50+P51+P56+P57+P61</f>
        <v>-433.3100000000006</v>
      </c>
      <c r="Q38" s="151">
        <f>O38/N38*100</f>
        <v>93.8380641646415</v>
      </c>
      <c r="R38" s="15" t="e">
        <f>#N/A</f>
        <v>#N/A</v>
      </c>
      <c r="S38" s="15" t="e">
        <f>#N/A</f>
        <v>#N/A</v>
      </c>
      <c r="T38" s="147">
        <f t="shared" si="9"/>
        <v>0</v>
      </c>
    </row>
    <row r="39" spans="1:20" s="6" customFormat="1" ht="46.5">
      <c r="A39" s="8"/>
      <c r="B39" s="44" t="s">
        <v>100</v>
      </c>
      <c r="C39" s="43">
        <v>21010301</v>
      </c>
      <c r="D39" s="150">
        <f>400+150</f>
        <v>550</v>
      </c>
      <c r="E39" s="150">
        <f aca="true" t="shared" si="13" ref="E39:E45">D39</f>
        <v>550</v>
      </c>
      <c r="F39" s="156">
        <v>551.04</v>
      </c>
      <c r="G39" s="162">
        <f>F39-E39</f>
        <v>1.0399999999999636</v>
      </c>
      <c r="H39" s="164">
        <f aca="true" t="shared" si="14" ref="H39:H62">F39/E39*100</f>
        <v>100.1890909090909</v>
      </c>
      <c r="I39" s="165">
        <f>F39-D39</f>
        <v>1.0399999999999636</v>
      </c>
      <c r="J39" s="165">
        <f>F39/D39*100</f>
        <v>100.1890909090909</v>
      </c>
      <c r="K39" s="165">
        <v>0.55</v>
      </c>
      <c r="L39" s="165">
        <f t="shared" si="1"/>
        <v>550.49</v>
      </c>
      <c r="M39" s="223">
        <f t="shared" si="12"/>
        <v>1001.890909090909</v>
      </c>
      <c r="N39" s="164">
        <f>E39-листопад!E39</f>
        <v>152</v>
      </c>
      <c r="O39" s="168">
        <f>F39-листопад!F39</f>
        <v>-0.17000000000007276</v>
      </c>
      <c r="P39" s="167">
        <f>O39-N39</f>
        <v>-152.17000000000007</v>
      </c>
      <c r="Q39" s="165">
        <f aca="true" t="shared" si="15" ref="Q39:Q62">O39/N39*100</f>
        <v>-0.11184210526320576</v>
      </c>
      <c r="R39" s="37"/>
      <c r="S39" s="94"/>
      <c r="T39" s="147">
        <f t="shared" si="9"/>
        <v>0</v>
      </c>
    </row>
    <row r="40" spans="1:20" s="6" customFormat="1" ht="30.75">
      <c r="A40" s="8"/>
      <c r="B40" s="129" t="s">
        <v>78</v>
      </c>
      <c r="C40" s="42">
        <v>21050000</v>
      </c>
      <c r="D40" s="150">
        <f>25000+5007+5593</f>
        <v>35600</v>
      </c>
      <c r="E40" s="150">
        <f t="shared" si="13"/>
        <v>35600</v>
      </c>
      <c r="F40" s="156">
        <v>36136.57</v>
      </c>
      <c r="G40" s="162">
        <f aca="true" t="shared" si="16" ref="G40:G63">F40-E40</f>
        <v>536.5699999999997</v>
      </c>
      <c r="H40" s="164">
        <f t="shared" si="14"/>
        <v>101.5072191011236</v>
      </c>
      <c r="I40" s="165">
        <f aca="true" t="shared" si="17" ref="I40:I63">F40-D40</f>
        <v>536.5699999999997</v>
      </c>
      <c r="J40" s="165">
        <f>F40/D40*100</f>
        <v>101.5072191011236</v>
      </c>
      <c r="K40" s="165">
        <v>19275.42</v>
      </c>
      <c r="L40" s="165">
        <f t="shared" si="1"/>
        <v>16861.15</v>
      </c>
      <c r="M40" s="223"/>
      <c r="N40" s="164">
        <f>E40-листопад!E40</f>
        <v>6134</v>
      </c>
      <c r="O40" s="168">
        <f>F40-листопад!F40</f>
        <v>5057.439999999999</v>
      </c>
      <c r="P40" s="167">
        <f aca="true" t="shared" si="18" ref="P40:P63">O40-N40</f>
        <v>-1076.5600000000013</v>
      </c>
      <c r="Q40" s="165">
        <f t="shared" si="15"/>
        <v>82.44929898924028</v>
      </c>
      <c r="R40" s="37"/>
      <c r="S40" s="94"/>
      <c r="T40" s="147">
        <f t="shared" si="9"/>
        <v>0</v>
      </c>
    </row>
    <row r="41" spans="1:20" s="6" customFormat="1" ht="18">
      <c r="A41" s="8"/>
      <c r="B41" s="129" t="s">
        <v>61</v>
      </c>
      <c r="C41" s="42">
        <v>21080500</v>
      </c>
      <c r="D41" s="150">
        <f>111.44-80.4</f>
        <v>31.039999999999992</v>
      </c>
      <c r="E41" s="150">
        <f t="shared" si="13"/>
        <v>31.039999999999992</v>
      </c>
      <c r="F41" s="156">
        <v>31.98</v>
      </c>
      <c r="G41" s="162">
        <f t="shared" si="16"/>
        <v>0.9400000000000084</v>
      </c>
      <c r="H41" s="164">
        <f t="shared" si="14"/>
        <v>103.02835051546396</v>
      </c>
      <c r="I41" s="165">
        <f t="shared" si="17"/>
        <v>0.9400000000000084</v>
      </c>
      <c r="J41" s="165">
        <f aca="true" t="shared" si="19" ref="J41:J62">F41/D41*100</f>
        <v>103.02835051546396</v>
      </c>
      <c r="K41" s="165">
        <v>445.64</v>
      </c>
      <c r="L41" s="165">
        <f t="shared" si="1"/>
        <v>-413.65999999999997</v>
      </c>
      <c r="M41" s="223">
        <f aca="true" t="shared" si="20" ref="M41:M63">F41/K41</f>
        <v>0.07176196032672112</v>
      </c>
      <c r="N41" s="164">
        <f>E41-листопад!E41</f>
        <v>-80.4</v>
      </c>
      <c r="O41" s="168">
        <f>F41-листопад!F41</f>
        <v>0</v>
      </c>
      <c r="P41" s="167">
        <f t="shared" si="18"/>
        <v>80.4</v>
      </c>
      <c r="Q41" s="165"/>
      <c r="R41" s="37"/>
      <c r="S41" s="94"/>
      <c r="T41" s="147">
        <f t="shared" si="9"/>
        <v>0</v>
      </c>
    </row>
    <row r="42" spans="1:20" s="6" customFormat="1" ht="31.5">
      <c r="A42" s="8"/>
      <c r="B42" s="26" t="s">
        <v>39</v>
      </c>
      <c r="C42" s="71">
        <v>21080900</v>
      </c>
      <c r="D42" s="150">
        <f>6.5-6.5</f>
        <v>0</v>
      </c>
      <c r="E42" s="150">
        <f t="shared" si="13"/>
        <v>0</v>
      </c>
      <c r="F42" s="156">
        <v>0.1</v>
      </c>
      <c r="G42" s="162">
        <f t="shared" si="16"/>
        <v>0.1</v>
      </c>
      <c r="H42" s="164"/>
      <c r="I42" s="165">
        <f t="shared" si="17"/>
        <v>0.1</v>
      </c>
      <c r="J42" s="165"/>
      <c r="K42" s="165">
        <v>1.02</v>
      </c>
      <c r="L42" s="165">
        <f t="shared" si="1"/>
        <v>-0.92</v>
      </c>
      <c r="M42" s="223">
        <f t="shared" si="20"/>
        <v>0.09803921568627451</v>
      </c>
      <c r="N42" s="164">
        <f>E42-листопад!E42</f>
        <v>0</v>
      </c>
      <c r="O42" s="168">
        <f>F42-листопад!F42</f>
        <v>0</v>
      </c>
      <c r="P42" s="167">
        <f t="shared" si="18"/>
        <v>0</v>
      </c>
      <c r="Q42" s="165"/>
      <c r="R42" s="37"/>
      <c r="S42" s="94"/>
      <c r="T42" s="147">
        <f t="shared" si="9"/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f>150+77</f>
        <v>227</v>
      </c>
      <c r="E43" s="150">
        <f t="shared" si="13"/>
        <v>227</v>
      </c>
      <c r="F43" s="156">
        <v>241.07</v>
      </c>
      <c r="G43" s="162">
        <f t="shared" si="16"/>
        <v>14.069999999999993</v>
      </c>
      <c r="H43" s="164">
        <f t="shared" si="14"/>
        <v>106.19823788546255</v>
      </c>
      <c r="I43" s="165">
        <f t="shared" si="17"/>
        <v>14.069999999999993</v>
      </c>
      <c r="J43" s="165">
        <f t="shared" si="19"/>
        <v>106.19823788546255</v>
      </c>
      <c r="K43" s="165">
        <v>126.46</v>
      </c>
      <c r="L43" s="165">
        <f t="shared" si="1"/>
        <v>114.61</v>
      </c>
      <c r="M43" s="223">
        <f t="shared" si="20"/>
        <v>1.9062944804681323</v>
      </c>
      <c r="N43" s="164">
        <f>E43-листопад!E43</f>
        <v>117</v>
      </c>
      <c r="O43" s="168">
        <f>F43-листопад!F43</f>
        <v>15.560000000000002</v>
      </c>
      <c r="P43" s="167">
        <f t="shared" si="18"/>
        <v>-101.44</v>
      </c>
      <c r="Q43" s="165">
        <f t="shared" si="15"/>
        <v>13.299145299145302</v>
      </c>
      <c r="R43" s="37"/>
      <c r="S43" s="94"/>
      <c r="T43" s="147">
        <f t="shared" si="9"/>
        <v>0</v>
      </c>
    </row>
    <row r="44" spans="1:20" s="6" customFormat="1" ht="46.5">
      <c r="A44" s="8"/>
      <c r="B44" s="130" t="s">
        <v>81</v>
      </c>
      <c r="C44" s="72">
        <v>21081500</v>
      </c>
      <c r="D44" s="150">
        <f>14+71</f>
        <v>85</v>
      </c>
      <c r="E44" s="150">
        <f t="shared" si="13"/>
        <v>85</v>
      </c>
      <c r="F44" s="156">
        <v>86.37</v>
      </c>
      <c r="G44" s="162">
        <f t="shared" si="16"/>
        <v>1.3700000000000045</v>
      </c>
      <c r="H44" s="164"/>
      <c r="I44" s="165">
        <f t="shared" si="17"/>
        <v>1.3700000000000045</v>
      </c>
      <c r="J44" s="165"/>
      <c r="K44" s="165">
        <v>0</v>
      </c>
      <c r="L44" s="165">
        <f t="shared" si="1"/>
        <v>86.37</v>
      </c>
      <c r="M44" s="223"/>
      <c r="N44" s="164">
        <f>E44-листопад!E44</f>
        <v>71</v>
      </c>
      <c r="O44" s="168">
        <f>F44-листопад!F44</f>
        <v>1</v>
      </c>
      <c r="P44" s="167"/>
      <c r="Q44" s="165"/>
      <c r="R44" s="37"/>
      <c r="S44" s="94"/>
      <c r="T44" s="147">
        <f t="shared" si="9"/>
        <v>0</v>
      </c>
    </row>
    <row r="45" spans="1:20" s="6" customFormat="1" ht="30.75">
      <c r="A45" s="8"/>
      <c r="B45" s="148" t="s">
        <v>108</v>
      </c>
      <c r="C45" s="49">
        <v>22010300</v>
      </c>
      <c r="D45" s="150">
        <f>300+400</f>
        <v>700</v>
      </c>
      <c r="E45" s="150">
        <f t="shared" si="13"/>
        <v>700</v>
      </c>
      <c r="F45" s="156">
        <v>791.33</v>
      </c>
      <c r="G45" s="162">
        <f t="shared" si="16"/>
        <v>91.33000000000004</v>
      </c>
      <c r="H45" s="164">
        <f t="shared" si="14"/>
        <v>113.04714285714286</v>
      </c>
      <c r="I45" s="165">
        <f t="shared" si="17"/>
        <v>91.33000000000004</v>
      </c>
      <c r="J45" s="165">
        <f t="shared" si="19"/>
        <v>113.04714285714286</v>
      </c>
      <c r="K45" s="165">
        <v>0</v>
      </c>
      <c r="L45" s="165">
        <f t="shared" si="1"/>
        <v>791.33</v>
      </c>
      <c r="M45" s="223"/>
      <c r="N45" s="164">
        <f>E45-листопад!E45</f>
        <v>410</v>
      </c>
      <c r="O45" s="168">
        <f>F45-листопад!F45</f>
        <v>161.55000000000007</v>
      </c>
      <c r="P45" s="167">
        <f t="shared" si="18"/>
        <v>-248.44999999999993</v>
      </c>
      <c r="Q45" s="165">
        <f t="shared" si="15"/>
        <v>39.40243902439026</v>
      </c>
      <c r="R45" s="37"/>
      <c r="S45" s="94"/>
      <c r="T45" s="147">
        <f t="shared" si="9"/>
        <v>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 t="shared" si="1"/>
        <v>0</v>
      </c>
      <c r="M46" s="223" t="e">
        <f t="shared" si="20"/>
        <v>#DIV/0!</v>
      </c>
      <c r="N46" s="164">
        <f>E46-листопад!E46</f>
        <v>0</v>
      </c>
      <c r="O46" s="168">
        <f>F46-листопад!F46</f>
        <v>0</v>
      </c>
      <c r="P46" s="167"/>
      <c r="Q46" s="165"/>
      <c r="R46" s="37"/>
      <c r="S46" s="94"/>
      <c r="T46" s="147">
        <f t="shared" si="9"/>
        <v>0</v>
      </c>
    </row>
    <row r="47" spans="1:20" s="6" customFormat="1" ht="18">
      <c r="A47" s="8"/>
      <c r="B47" s="33" t="s">
        <v>79</v>
      </c>
      <c r="C47" s="72">
        <v>22012500</v>
      </c>
      <c r="D47" s="150">
        <f>9900+1200</f>
        <v>11100</v>
      </c>
      <c r="E47" s="150">
        <f aca="true" t="shared" si="21" ref="E47:E57">D47</f>
        <v>11100</v>
      </c>
      <c r="F47" s="156">
        <v>11422.5</v>
      </c>
      <c r="G47" s="162">
        <f t="shared" si="16"/>
        <v>322.5</v>
      </c>
      <c r="H47" s="164">
        <f t="shared" si="14"/>
        <v>102.9054054054054</v>
      </c>
      <c r="I47" s="165">
        <f t="shared" si="17"/>
        <v>322.5</v>
      </c>
      <c r="J47" s="165">
        <f t="shared" si="19"/>
        <v>102.9054054054054</v>
      </c>
      <c r="K47" s="165">
        <v>9902.75</v>
      </c>
      <c r="L47" s="165">
        <f t="shared" si="1"/>
        <v>1519.75</v>
      </c>
      <c r="M47" s="223">
        <f t="shared" si="20"/>
        <v>1.1534674711570019</v>
      </c>
      <c r="N47" s="164">
        <f>E47-листопад!E47</f>
        <v>1550.9799999999996</v>
      </c>
      <c r="O47" s="168">
        <f>F47-листопад!F47</f>
        <v>1183.2900000000009</v>
      </c>
      <c r="P47" s="167">
        <f t="shared" si="18"/>
        <v>-367.6899999999987</v>
      </c>
      <c r="Q47" s="165">
        <f t="shared" si="15"/>
        <v>76.29305342428665</v>
      </c>
      <c r="R47" s="37"/>
      <c r="S47" s="94"/>
      <c r="T47" s="147">
        <f t="shared" si="9"/>
        <v>0</v>
      </c>
    </row>
    <row r="48" spans="1:20" s="6" customFormat="1" ht="31.5">
      <c r="A48" s="8"/>
      <c r="B48" s="149" t="s">
        <v>101</v>
      </c>
      <c r="C48" s="72">
        <v>22012600</v>
      </c>
      <c r="D48" s="150">
        <f>650-350</f>
        <v>300</v>
      </c>
      <c r="E48" s="150">
        <f t="shared" si="21"/>
        <v>300</v>
      </c>
      <c r="F48" s="156">
        <v>323.25</v>
      </c>
      <c r="G48" s="162">
        <f t="shared" si="16"/>
        <v>23.25</v>
      </c>
      <c r="H48" s="164">
        <f t="shared" si="14"/>
        <v>107.74999999999999</v>
      </c>
      <c r="I48" s="165">
        <f t="shared" si="17"/>
        <v>23.25</v>
      </c>
      <c r="J48" s="165">
        <f t="shared" si="19"/>
        <v>107.74999999999999</v>
      </c>
      <c r="K48" s="165">
        <v>0</v>
      </c>
      <c r="L48" s="165">
        <f t="shared" si="1"/>
        <v>323.25</v>
      </c>
      <c r="M48" s="223"/>
      <c r="N48" s="164">
        <f>E48-листопад!E48</f>
        <v>-350</v>
      </c>
      <c r="O48" s="168">
        <f>F48-листопад!F48</f>
        <v>40.60000000000002</v>
      </c>
      <c r="P48" s="167">
        <f t="shared" si="18"/>
        <v>390.6</v>
      </c>
      <c r="Q48" s="165"/>
      <c r="R48" s="37"/>
      <c r="S48" s="94"/>
      <c r="T48" s="147">
        <f t="shared" si="9"/>
        <v>0</v>
      </c>
    </row>
    <row r="49" spans="1:20" s="6" customFormat="1" ht="31.5">
      <c r="A49" s="8"/>
      <c r="B49" s="149" t="s">
        <v>109</v>
      </c>
      <c r="C49" s="72">
        <v>22012900</v>
      </c>
      <c r="D49" s="150">
        <f>50-31</f>
        <v>19</v>
      </c>
      <c r="E49" s="150">
        <f t="shared" si="21"/>
        <v>19</v>
      </c>
      <c r="F49" s="156">
        <v>22.36</v>
      </c>
      <c r="G49" s="162">
        <f t="shared" si="16"/>
        <v>3.3599999999999994</v>
      </c>
      <c r="H49" s="164">
        <f t="shared" si="14"/>
        <v>117.6842105263158</v>
      </c>
      <c r="I49" s="165">
        <f t="shared" si="17"/>
        <v>3.3599999999999994</v>
      </c>
      <c r="J49" s="165">
        <f t="shared" si="19"/>
        <v>117.6842105263158</v>
      </c>
      <c r="K49" s="165">
        <v>0</v>
      </c>
      <c r="L49" s="165">
        <f t="shared" si="1"/>
        <v>22.36</v>
      </c>
      <c r="M49" s="223"/>
      <c r="N49" s="164">
        <f>E49-листопад!E49</f>
        <v>-21</v>
      </c>
      <c r="O49" s="168">
        <f>F49-листопад!F49</f>
        <v>3.1999999999999993</v>
      </c>
      <c r="P49" s="167">
        <f t="shared" si="18"/>
        <v>24.2</v>
      </c>
      <c r="Q49" s="165">
        <f t="shared" si="15"/>
        <v>-15.238095238095234</v>
      </c>
      <c r="R49" s="37"/>
      <c r="S49" s="94"/>
      <c r="T49" s="147">
        <f t="shared" si="9"/>
        <v>0</v>
      </c>
    </row>
    <row r="50" spans="1:20" s="6" customFormat="1" ht="30.75">
      <c r="A50" s="8"/>
      <c r="B50" s="130" t="s">
        <v>14</v>
      </c>
      <c r="C50" s="49">
        <v>22080400</v>
      </c>
      <c r="D50" s="150">
        <f>8000-770</f>
        <v>7230</v>
      </c>
      <c r="E50" s="150">
        <f t="shared" si="21"/>
        <v>7230</v>
      </c>
      <c r="F50" s="156">
        <v>7230.43</v>
      </c>
      <c r="G50" s="162">
        <f t="shared" si="16"/>
        <v>0.43000000000029104</v>
      </c>
      <c r="H50" s="164">
        <f t="shared" si="14"/>
        <v>100.00594744121716</v>
      </c>
      <c r="I50" s="165">
        <f t="shared" si="17"/>
        <v>0.43000000000029104</v>
      </c>
      <c r="J50" s="165">
        <f t="shared" si="19"/>
        <v>100.00594744121716</v>
      </c>
      <c r="K50" s="165">
        <v>8872.3</v>
      </c>
      <c r="L50" s="165">
        <f t="shared" si="1"/>
        <v>-1641.869999999999</v>
      </c>
      <c r="M50" s="223">
        <f t="shared" si="20"/>
        <v>0.81494426473406</v>
      </c>
      <c r="N50" s="164">
        <f>E50-листопад!E50</f>
        <v>13.770000000000437</v>
      </c>
      <c r="O50" s="168">
        <f>F50-листопад!F50</f>
        <v>495.7400000000007</v>
      </c>
      <c r="P50" s="167">
        <f t="shared" si="18"/>
        <v>481.97000000000025</v>
      </c>
      <c r="Q50" s="165">
        <f t="shared" si="15"/>
        <v>3600.145243282389</v>
      </c>
      <c r="R50" s="37"/>
      <c r="S50" s="94"/>
      <c r="T50" s="147">
        <f t="shared" si="9"/>
        <v>0</v>
      </c>
    </row>
    <row r="51" spans="1:20" s="6" customFormat="1" ht="18">
      <c r="A51" s="8"/>
      <c r="B51" s="130" t="s">
        <v>15</v>
      </c>
      <c r="C51" s="43">
        <v>22090000</v>
      </c>
      <c r="D51" s="150">
        <f>7000.04-175-1675</f>
        <v>5150.04</v>
      </c>
      <c r="E51" s="150">
        <f t="shared" si="21"/>
        <v>5150.04</v>
      </c>
      <c r="F51" s="156">
        <v>5161.34</v>
      </c>
      <c r="G51" s="162">
        <f t="shared" si="16"/>
        <v>11.300000000000182</v>
      </c>
      <c r="H51" s="164">
        <f t="shared" si="14"/>
        <v>100.21941577152799</v>
      </c>
      <c r="I51" s="165">
        <f t="shared" si="17"/>
        <v>11.300000000000182</v>
      </c>
      <c r="J51" s="165">
        <f t="shared" si="19"/>
        <v>100.21941577152799</v>
      </c>
      <c r="K51" s="165">
        <v>7235.66</v>
      </c>
      <c r="L51" s="165">
        <f t="shared" si="1"/>
        <v>-2074.3199999999997</v>
      </c>
      <c r="M51" s="223">
        <f t="shared" si="20"/>
        <v>0.7133198630118055</v>
      </c>
      <c r="N51" s="164">
        <f>E51-листопад!E51</f>
        <v>-951.1499999999996</v>
      </c>
      <c r="O51" s="168">
        <f>F51-листопад!F51</f>
        <v>58.600000000000364</v>
      </c>
      <c r="P51" s="167">
        <f t="shared" si="18"/>
        <v>1009.75</v>
      </c>
      <c r="Q51" s="165">
        <f t="shared" si="15"/>
        <v>-6.160963044735361</v>
      </c>
      <c r="R51" s="37"/>
      <c r="S51" s="94"/>
      <c r="T51" s="147">
        <f t="shared" si="9"/>
        <v>0</v>
      </c>
    </row>
    <row r="52" spans="1:20" s="6" customFormat="1" ht="18" hidden="1">
      <c r="A52" s="8"/>
      <c r="B52" s="50" t="s">
        <v>99</v>
      </c>
      <c r="C52" s="123">
        <v>22090100</v>
      </c>
      <c r="D52" s="103">
        <f>970-175</f>
        <v>795</v>
      </c>
      <c r="E52" s="103">
        <f t="shared" si="21"/>
        <v>795</v>
      </c>
      <c r="F52" s="140">
        <v>835.21</v>
      </c>
      <c r="G52" s="34">
        <f t="shared" si="16"/>
        <v>40.210000000000036</v>
      </c>
      <c r="H52" s="30">
        <f t="shared" si="14"/>
        <v>105.05786163522014</v>
      </c>
      <c r="I52" s="104">
        <f t="shared" si="17"/>
        <v>40.210000000000036</v>
      </c>
      <c r="J52" s="104">
        <f t="shared" si="19"/>
        <v>105.05786163522014</v>
      </c>
      <c r="K52" s="104">
        <v>1089.08</v>
      </c>
      <c r="L52" s="104">
        <f>F52-K52</f>
        <v>-253.8699999999999</v>
      </c>
      <c r="M52" s="109">
        <f t="shared" si="20"/>
        <v>0.7668949939398392</v>
      </c>
      <c r="N52" s="164">
        <f>E52-листопад!E52</f>
        <v>-78.99000000000001</v>
      </c>
      <c r="O52" s="168">
        <f>F52-листопад!F52</f>
        <v>50.35000000000002</v>
      </c>
      <c r="P52" s="106">
        <f t="shared" si="18"/>
        <v>129.34000000000003</v>
      </c>
      <c r="Q52" s="119">
        <f t="shared" si="15"/>
        <v>-63.74224585390558</v>
      </c>
      <c r="R52" s="37"/>
      <c r="S52" s="94"/>
      <c r="T52" s="147">
        <f t="shared" si="9"/>
        <v>0</v>
      </c>
    </row>
    <row r="53" spans="1:20" s="6" customFormat="1" ht="18" hidden="1">
      <c r="A53" s="8"/>
      <c r="B53" s="50" t="s">
        <v>96</v>
      </c>
      <c r="C53" s="123">
        <v>22090200</v>
      </c>
      <c r="D53" s="103">
        <v>5.04</v>
      </c>
      <c r="E53" s="103">
        <f t="shared" si="21"/>
        <v>5.04</v>
      </c>
      <c r="F53" s="140">
        <v>0.38</v>
      </c>
      <c r="G53" s="34">
        <f t="shared" si="16"/>
        <v>-4.66</v>
      </c>
      <c r="H53" s="30">
        <f t="shared" si="14"/>
        <v>7.5396825396825395</v>
      </c>
      <c r="I53" s="104">
        <f t="shared" si="17"/>
        <v>-4.66</v>
      </c>
      <c r="J53" s="104">
        <f t="shared" si="19"/>
        <v>7.5396825396825395</v>
      </c>
      <c r="K53" s="104">
        <v>44.23</v>
      </c>
      <c r="L53" s="104">
        <f>F53-K53</f>
        <v>-43.849999999999994</v>
      </c>
      <c r="M53" s="109">
        <f t="shared" si="20"/>
        <v>0.008591453764413295</v>
      </c>
      <c r="N53" s="164">
        <f>E53-листопад!E53</f>
        <v>0</v>
      </c>
      <c r="O53" s="168">
        <f>F53-листопад!F53</f>
        <v>0.09000000000000002</v>
      </c>
      <c r="P53" s="106">
        <f t="shared" si="18"/>
        <v>0.09000000000000002</v>
      </c>
      <c r="Q53" s="119" t="e">
        <f t="shared" si="15"/>
        <v>#DIV/0!</v>
      </c>
      <c r="R53" s="37"/>
      <c r="S53" s="94"/>
      <c r="T53" s="147">
        <f t="shared" si="9"/>
        <v>0</v>
      </c>
    </row>
    <row r="54" spans="1:20" s="6" customFormat="1" ht="18" hidden="1">
      <c r="A54" s="8"/>
      <c r="B54" s="50" t="s">
        <v>97</v>
      </c>
      <c r="C54" s="123">
        <v>22090300</v>
      </c>
      <c r="D54" s="103">
        <v>1</v>
      </c>
      <c r="E54" s="103">
        <f t="shared" si="21"/>
        <v>1</v>
      </c>
      <c r="F54" s="140">
        <v>0.02</v>
      </c>
      <c r="G54" s="34">
        <f t="shared" si="16"/>
        <v>-0.98</v>
      </c>
      <c r="H54" s="30"/>
      <c r="I54" s="104">
        <f t="shared" si="17"/>
        <v>-0.98</v>
      </c>
      <c r="J54" s="104">
        <f t="shared" si="19"/>
        <v>2</v>
      </c>
      <c r="K54" s="104">
        <v>0.75</v>
      </c>
      <c r="L54" s="104">
        <f>F54-K54</f>
        <v>-0.73</v>
      </c>
      <c r="M54" s="109">
        <f t="shared" si="20"/>
        <v>0.02666666666666667</v>
      </c>
      <c r="N54" s="164">
        <f>E54-листопад!E54</f>
        <v>1</v>
      </c>
      <c r="O54" s="168">
        <f>F54-листопад!F54</f>
        <v>0</v>
      </c>
      <c r="P54" s="106">
        <f t="shared" si="18"/>
        <v>-1</v>
      </c>
      <c r="Q54" s="119"/>
      <c r="R54" s="37"/>
      <c r="S54" s="94"/>
      <c r="T54" s="147">
        <f t="shared" si="9"/>
        <v>0</v>
      </c>
    </row>
    <row r="55" spans="1:20" s="6" customFormat="1" ht="18" hidden="1">
      <c r="A55" s="8"/>
      <c r="B55" s="50" t="s">
        <v>98</v>
      </c>
      <c r="C55" s="123">
        <v>22090400</v>
      </c>
      <c r="D55" s="103">
        <f>6024-1675</f>
        <v>4349</v>
      </c>
      <c r="E55" s="103">
        <f t="shared" si="21"/>
        <v>4349</v>
      </c>
      <c r="F55" s="140">
        <v>4325.74</v>
      </c>
      <c r="G55" s="34">
        <f t="shared" si="16"/>
        <v>-23.26000000000022</v>
      </c>
      <c r="H55" s="30">
        <f t="shared" si="14"/>
        <v>99.46516440561048</v>
      </c>
      <c r="I55" s="104">
        <f t="shared" si="17"/>
        <v>-23.26000000000022</v>
      </c>
      <c r="J55" s="104">
        <f t="shared" si="19"/>
        <v>99.46516440561048</v>
      </c>
      <c r="K55" s="104">
        <v>6101.6</v>
      </c>
      <c r="L55" s="104">
        <f>F55-K55</f>
        <v>-1775.8600000000006</v>
      </c>
      <c r="M55" s="109">
        <f t="shared" si="20"/>
        <v>0.7089517503605611</v>
      </c>
      <c r="N55" s="164">
        <f>E55-листопад!E55</f>
        <v>-873.1700000000001</v>
      </c>
      <c r="O55" s="168">
        <f>F55-листопад!F55</f>
        <v>8.170000000000073</v>
      </c>
      <c r="P55" s="106">
        <f t="shared" si="18"/>
        <v>881.3400000000001</v>
      </c>
      <c r="Q55" s="119">
        <f t="shared" si="15"/>
        <v>-0.935671175143451</v>
      </c>
      <c r="R55" s="37"/>
      <c r="S55" s="94"/>
      <c r="T55" s="147">
        <f t="shared" si="9"/>
        <v>0</v>
      </c>
    </row>
    <row r="56" spans="1:20" s="6" customFormat="1" ht="46.5">
      <c r="A56" s="8"/>
      <c r="B56" s="13" t="s">
        <v>17</v>
      </c>
      <c r="C56" s="11" t="s">
        <v>18</v>
      </c>
      <c r="D56" s="150">
        <f>10-8</f>
        <v>2</v>
      </c>
      <c r="E56" s="150">
        <f t="shared" si="21"/>
        <v>2</v>
      </c>
      <c r="F56" s="156">
        <v>2.46</v>
      </c>
      <c r="G56" s="162">
        <f t="shared" si="16"/>
        <v>0.45999999999999996</v>
      </c>
      <c r="H56" s="164">
        <f t="shared" si="14"/>
        <v>123</v>
      </c>
      <c r="I56" s="165">
        <f t="shared" si="17"/>
        <v>0.45999999999999996</v>
      </c>
      <c r="J56" s="165">
        <f t="shared" si="19"/>
        <v>123</v>
      </c>
      <c r="K56" s="165">
        <v>10.65</v>
      </c>
      <c r="L56" s="165">
        <f>F56-K56</f>
        <v>-8.190000000000001</v>
      </c>
      <c r="M56" s="223">
        <f t="shared" si="20"/>
        <v>0.23098591549295774</v>
      </c>
      <c r="N56" s="164">
        <f>E56-листопад!E56</f>
        <v>1.83</v>
      </c>
      <c r="O56" s="168">
        <f>F56-листопад!F56</f>
        <v>0</v>
      </c>
      <c r="P56" s="167">
        <f t="shared" si="18"/>
        <v>-1.83</v>
      </c>
      <c r="Q56" s="165"/>
      <c r="R56" s="37"/>
      <c r="S56" s="94"/>
      <c r="T56" s="147">
        <f t="shared" si="9"/>
        <v>0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f>5150+1050</f>
        <v>6200</v>
      </c>
      <c r="E57" s="150">
        <f t="shared" si="21"/>
        <v>6200</v>
      </c>
      <c r="F57" s="156">
        <v>6525.16</v>
      </c>
      <c r="G57" s="162">
        <f t="shared" si="16"/>
        <v>325.15999999999985</v>
      </c>
      <c r="H57" s="164">
        <f t="shared" si="14"/>
        <v>105.24451612903225</v>
      </c>
      <c r="I57" s="165">
        <f t="shared" si="17"/>
        <v>325.15999999999985</v>
      </c>
      <c r="J57" s="165">
        <f t="shared" si="19"/>
        <v>105.24451612903225</v>
      </c>
      <c r="K57" s="165">
        <v>4790.19</v>
      </c>
      <c r="L57" s="165">
        <f aca="true" t="shared" si="22" ref="L57:L63">F57-K57</f>
        <v>1734.9700000000003</v>
      </c>
      <c r="M57" s="223">
        <f t="shared" si="20"/>
        <v>1.362192313874815</v>
      </c>
      <c r="N57" s="164">
        <f>E57-листопад!E57</f>
        <v>1062.0200000000004</v>
      </c>
      <c r="O57" s="168">
        <f>F57-листопад!F57</f>
        <v>580.1399999999994</v>
      </c>
      <c r="P57" s="167">
        <f t="shared" si="18"/>
        <v>-481.880000000001</v>
      </c>
      <c r="Q57" s="165">
        <f t="shared" si="15"/>
        <v>54.62608990414486</v>
      </c>
      <c r="R57" s="37"/>
      <c r="S57" s="94"/>
      <c r="T57" s="147">
        <f t="shared" si="9"/>
        <v>0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 t="shared" si="16"/>
        <v>0</v>
      </c>
      <c r="H58" s="164" t="e">
        <f t="shared" si="14"/>
        <v>#DIV/0!</v>
      </c>
      <c r="I58" s="165">
        <f t="shared" si="17"/>
        <v>0</v>
      </c>
      <c r="J58" s="165" t="e">
        <f t="shared" si="19"/>
        <v>#DIV/0!</v>
      </c>
      <c r="K58" s="165"/>
      <c r="L58" s="165">
        <f t="shared" si="22"/>
        <v>0</v>
      </c>
      <c r="M58" s="223" t="e">
        <f t="shared" si="20"/>
        <v>#DIV/0!</v>
      </c>
      <c r="N58" s="164">
        <f>E58-листопад!E58</f>
        <v>0</v>
      </c>
      <c r="O58" s="168">
        <f>F58-вересень!F58</f>
        <v>0</v>
      </c>
      <c r="P58" s="167">
        <f t="shared" si="18"/>
        <v>0</v>
      </c>
      <c r="Q58" s="165" t="e">
        <f t="shared" si="15"/>
        <v>#DIV/0!</v>
      </c>
      <c r="R58" s="37"/>
      <c r="S58" s="94"/>
      <c r="T58" s="147">
        <f t="shared" si="9"/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3">
        <v>1411.18</v>
      </c>
      <c r="G59" s="162"/>
      <c r="H59" s="164"/>
      <c r="I59" s="165"/>
      <c r="J59" s="165"/>
      <c r="K59" s="166">
        <v>1224.23</v>
      </c>
      <c r="L59" s="165">
        <f t="shared" si="22"/>
        <v>186.95000000000005</v>
      </c>
      <c r="M59" s="223">
        <f t="shared" si="20"/>
        <v>1.1527082329300866</v>
      </c>
      <c r="N59" s="164"/>
      <c r="O59" s="179">
        <f>F59-листопад!F59</f>
        <v>155.1400000000001</v>
      </c>
      <c r="P59" s="166"/>
      <c r="Q59" s="165"/>
      <c r="R59" s="37"/>
      <c r="S59" s="94"/>
      <c r="T59" s="147">
        <f t="shared" si="9"/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f>D60</f>
        <v>0</v>
      </c>
      <c r="F60" s="141">
        <v>0</v>
      </c>
      <c r="G60" s="162">
        <f t="shared" si="16"/>
        <v>0</v>
      </c>
      <c r="H60" s="164"/>
      <c r="I60" s="165">
        <f t="shared" si="17"/>
        <v>0</v>
      </c>
      <c r="J60" s="165"/>
      <c r="K60" s="166"/>
      <c r="L60" s="165">
        <f t="shared" si="22"/>
        <v>0</v>
      </c>
      <c r="M60" s="223" t="e">
        <f t="shared" si="20"/>
        <v>#DIV/0!</v>
      </c>
      <c r="N60" s="164">
        <f>E60-вересень!E60</f>
        <v>0</v>
      </c>
      <c r="O60" s="168">
        <f>F60-вересень!F60</f>
        <v>0</v>
      </c>
      <c r="P60" s="167">
        <f t="shared" si="18"/>
        <v>0</v>
      </c>
      <c r="Q60" s="165"/>
      <c r="R60" s="37"/>
      <c r="S60" s="94"/>
      <c r="T60" s="147">
        <f t="shared" si="9"/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f>100+58</f>
        <v>158</v>
      </c>
      <c r="E61" s="150">
        <f>D61</f>
        <v>158</v>
      </c>
      <c r="F61" s="156">
        <v>226.72</v>
      </c>
      <c r="G61" s="162">
        <f t="shared" si="16"/>
        <v>68.72</v>
      </c>
      <c r="H61" s="164">
        <f t="shared" si="14"/>
        <v>143.49367088607593</v>
      </c>
      <c r="I61" s="165">
        <f t="shared" si="17"/>
        <v>68.72</v>
      </c>
      <c r="J61" s="165">
        <f t="shared" si="19"/>
        <v>143.49367088607593</v>
      </c>
      <c r="K61" s="165">
        <v>20.05</v>
      </c>
      <c r="L61" s="165">
        <f t="shared" si="22"/>
        <v>206.67</v>
      </c>
      <c r="M61" s="223">
        <f t="shared" si="20"/>
        <v>11.307730673316708</v>
      </c>
      <c r="N61" s="164">
        <f>E61-листопад!E61</f>
        <v>58</v>
      </c>
      <c r="O61" s="168">
        <f>F61-листопад!F61</f>
        <v>67.78999999999999</v>
      </c>
      <c r="P61" s="167">
        <f t="shared" si="18"/>
        <v>9.789999999999992</v>
      </c>
      <c r="Q61" s="165"/>
      <c r="R61" s="37"/>
      <c r="S61" s="94"/>
      <c r="T61" s="147">
        <f t="shared" si="9"/>
        <v>0</v>
      </c>
    </row>
    <row r="62" spans="1:20" s="6" customFormat="1" ht="30.75">
      <c r="A62" s="8"/>
      <c r="B62" s="12" t="s">
        <v>44</v>
      </c>
      <c r="C62" s="43">
        <v>31010200</v>
      </c>
      <c r="D62" s="150">
        <f>30-17</f>
        <v>13</v>
      </c>
      <c r="E62" s="150">
        <f>D62</f>
        <v>13</v>
      </c>
      <c r="F62" s="156">
        <v>13.52</v>
      </c>
      <c r="G62" s="162">
        <f t="shared" si="16"/>
        <v>0.5199999999999996</v>
      </c>
      <c r="H62" s="164">
        <f t="shared" si="14"/>
        <v>104</v>
      </c>
      <c r="I62" s="165">
        <f t="shared" si="17"/>
        <v>0.5199999999999996</v>
      </c>
      <c r="J62" s="165">
        <f t="shared" si="19"/>
        <v>104</v>
      </c>
      <c r="K62" s="165">
        <v>26.28</v>
      </c>
      <c r="L62" s="165">
        <f t="shared" si="22"/>
        <v>-12.760000000000002</v>
      </c>
      <c r="M62" s="223">
        <f t="shared" si="20"/>
        <v>0.5144596651445966</v>
      </c>
      <c r="N62" s="164">
        <f>E62-листопад!E62</f>
        <v>-10.7</v>
      </c>
      <c r="O62" s="168">
        <f>F62-листопад!F62</f>
        <v>0</v>
      </c>
      <c r="P62" s="167">
        <f t="shared" si="18"/>
        <v>10.7</v>
      </c>
      <c r="Q62" s="165">
        <f t="shared" si="15"/>
        <v>0</v>
      </c>
      <c r="R62" s="37"/>
      <c r="S62" s="94"/>
      <c r="T62" s="147">
        <f t="shared" si="9"/>
        <v>0</v>
      </c>
    </row>
    <row r="63" spans="1:20" s="6" customFormat="1" ht="30.75">
      <c r="A63" s="8"/>
      <c r="B63" s="12" t="s">
        <v>57</v>
      </c>
      <c r="C63" s="43">
        <v>31020000</v>
      </c>
      <c r="D63" s="150">
        <v>0.8</v>
      </c>
      <c r="E63" s="150">
        <f>D63</f>
        <v>0.8</v>
      </c>
      <c r="F63" s="156">
        <v>7.37</v>
      </c>
      <c r="G63" s="162">
        <f t="shared" si="16"/>
        <v>6.57</v>
      </c>
      <c r="H63" s="164"/>
      <c r="I63" s="165">
        <f t="shared" si="17"/>
        <v>6.57</v>
      </c>
      <c r="J63" s="165"/>
      <c r="K63" s="165">
        <v>0.58</v>
      </c>
      <c r="L63" s="165">
        <f t="shared" si="22"/>
        <v>6.79</v>
      </c>
      <c r="M63" s="223">
        <f t="shared" si="20"/>
        <v>12.706896551724139</v>
      </c>
      <c r="N63" s="164">
        <f>E63-листопад!E63</f>
        <v>0.6000000000000001</v>
      </c>
      <c r="O63" s="168">
        <f>F63-листопад!F63</f>
        <v>6.3</v>
      </c>
      <c r="P63" s="167">
        <f t="shared" si="18"/>
        <v>5.699999999999999</v>
      </c>
      <c r="Q63" s="165"/>
      <c r="R63" s="37"/>
      <c r="S63" s="94"/>
      <c r="T63" s="147">
        <f t="shared" si="9"/>
        <v>0</v>
      </c>
    </row>
    <row r="64" spans="1:23" s="6" customFormat="1" ht="18">
      <c r="A64" s="9"/>
      <c r="B64" s="14" t="s">
        <v>28</v>
      </c>
      <c r="C64" s="62"/>
      <c r="D64" s="151">
        <f>D8+D38+D62+D63</f>
        <v>1042725.7300000001</v>
      </c>
      <c r="E64" s="151">
        <f>E8+E38+E62+E63</f>
        <v>1042725.7300000001</v>
      </c>
      <c r="F64" s="151">
        <f>F8+F38+F62+F63</f>
        <v>1053569.5100000002</v>
      </c>
      <c r="G64" s="151">
        <f>F64-E64</f>
        <v>10843.780000000144</v>
      </c>
      <c r="H64" s="152">
        <f>F64/E64*100</f>
        <v>101.0399455665106</v>
      </c>
      <c r="I64" s="153">
        <f>F64-D64</f>
        <v>10843.780000000144</v>
      </c>
      <c r="J64" s="153">
        <f>F64/D64*100</f>
        <v>101.0399455665106</v>
      </c>
      <c r="K64" s="153">
        <v>723400.62</v>
      </c>
      <c r="L64" s="153">
        <f>F64-K64</f>
        <v>330168.89000000025</v>
      </c>
      <c r="M64" s="224">
        <f>F64/K64</f>
        <v>1.4564122297821644</v>
      </c>
      <c r="N64" s="151">
        <f>N8+N38+N62+N63</f>
        <v>99095.95000000004</v>
      </c>
      <c r="O64" s="151">
        <f>O8+O38+O62+O63</f>
        <v>101868.51000000013</v>
      </c>
      <c r="P64" s="155">
        <f>O64-N64</f>
        <v>2772.560000000085</v>
      </c>
      <c r="Q64" s="153">
        <f>O64/N64*100</f>
        <v>102.79785399907875</v>
      </c>
      <c r="R64" s="27">
        <f>O64-34768</f>
        <v>67100.51000000013</v>
      </c>
      <c r="S64" s="115">
        <f>O64/34768</f>
        <v>2.9299502416014764</v>
      </c>
      <c r="T64" s="147">
        <f t="shared" si="9"/>
        <v>0</v>
      </c>
      <c r="U64" s="132"/>
      <c r="W64" s="147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 t="shared" si="9"/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 t="shared" si="9"/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 t="shared" si="9"/>
        <v>0</v>
      </c>
    </row>
    <row r="68" spans="2:20" ht="15">
      <c r="B68" s="22" t="s">
        <v>111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 t="shared" si="9"/>
        <v>0</v>
      </c>
    </row>
    <row r="69" spans="2:20" ht="25.5" customHeight="1">
      <c r="B69" s="134" t="s">
        <v>102</v>
      </c>
      <c r="C69" s="135">
        <v>12020000</v>
      </c>
      <c r="D69" s="180">
        <v>0</v>
      </c>
      <c r="E69" s="180">
        <f>D69</f>
        <v>0</v>
      </c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11">
        <f>F69/K69</f>
        <v>1</v>
      </c>
      <c r="N69" s="162"/>
      <c r="O69" s="182">
        <f>F69-листопад!F69</f>
        <v>0</v>
      </c>
      <c r="P69" s="167"/>
      <c r="Q69" s="167"/>
      <c r="R69" s="38"/>
      <c r="S69" s="97"/>
      <c r="T69" s="147">
        <f t="shared" si="9"/>
        <v>0</v>
      </c>
    </row>
    <row r="70" spans="2:20" ht="31.5">
      <c r="B70" s="23" t="s">
        <v>62</v>
      </c>
      <c r="C70" s="73">
        <v>18041500</v>
      </c>
      <c r="D70" s="180">
        <v>0</v>
      </c>
      <c r="E70" s="180">
        <f>D70</f>
        <v>0</v>
      </c>
      <c r="F70" s="181">
        <v>-10.19</v>
      </c>
      <c r="G70" s="162">
        <f>F70-E70</f>
        <v>-10.19</v>
      </c>
      <c r="H70" s="164"/>
      <c r="I70" s="167">
        <f>F70-D70</f>
        <v>-10.19</v>
      </c>
      <c r="J70" s="167"/>
      <c r="K70" s="167">
        <v>-56.2</v>
      </c>
      <c r="L70" s="167">
        <f>F70-K70</f>
        <v>46.010000000000005</v>
      </c>
      <c r="M70" s="211">
        <f>F70/K70</f>
        <v>0.18131672597864767</v>
      </c>
      <c r="N70" s="164"/>
      <c r="O70" s="182">
        <f>F70-жовтень!F70</f>
        <v>0</v>
      </c>
      <c r="P70" s="167">
        <f>O70-N70</f>
        <v>0</v>
      </c>
      <c r="Q70" s="167"/>
      <c r="R70" s="38"/>
      <c r="S70" s="97"/>
      <c r="T70" s="147">
        <f t="shared" si="9"/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-10.18</v>
      </c>
      <c r="G71" s="185">
        <f>F71-E71</f>
        <v>-10.18</v>
      </c>
      <c r="H71" s="186"/>
      <c r="I71" s="187">
        <f>F71-D71</f>
        <v>-10.18</v>
      </c>
      <c r="J71" s="187"/>
      <c r="K71" s="187">
        <v>-56.2</v>
      </c>
      <c r="L71" s="187">
        <f>F71-K71</f>
        <v>46.02</v>
      </c>
      <c r="M71" s="217">
        <f>F71/K71</f>
        <v>0.18113879003558717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 t="shared" si="9"/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18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 t="shared" si="9"/>
        <v>0</v>
      </c>
    </row>
    <row r="73" spans="2:20" ht="31.5">
      <c r="B73" s="23" t="s">
        <v>29</v>
      </c>
      <c r="C73" s="73">
        <v>31030000</v>
      </c>
      <c r="D73" s="180">
        <f>4200+11000-12200</f>
        <v>3000</v>
      </c>
      <c r="E73" s="180">
        <f>D73</f>
        <v>3000</v>
      </c>
      <c r="F73" s="181">
        <v>4618.99</v>
      </c>
      <c r="G73" s="162">
        <f aca="true" t="shared" si="23" ref="G73:G83">F73-E73</f>
        <v>1618.9899999999998</v>
      </c>
      <c r="H73" s="164"/>
      <c r="I73" s="167">
        <f aca="true" t="shared" si="24" ref="I73:I83">F73-D73</f>
        <v>1618.9899999999998</v>
      </c>
      <c r="J73" s="167">
        <f>F73/D73*100</f>
        <v>153.96633333333332</v>
      </c>
      <c r="K73" s="167">
        <v>619.07</v>
      </c>
      <c r="L73" s="167">
        <f aca="true" t="shared" si="25" ref="L73:L83">F73-K73</f>
        <v>3999.9199999999996</v>
      </c>
      <c r="M73" s="211">
        <f>F73/K73</f>
        <v>7.46117563441937</v>
      </c>
      <c r="N73" s="164">
        <f>E73-листопад!E73</f>
        <v>-1200</v>
      </c>
      <c r="O73" s="168">
        <f>F73-листопад!F73</f>
        <v>2358.3599999999997</v>
      </c>
      <c r="P73" s="167">
        <f aca="true" t="shared" si="26" ref="P73:P86">O73-N73</f>
        <v>3558.3599999999997</v>
      </c>
      <c r="Q73" s="167">
        <f>O73/N73*100</f>
        <v>-196.52999999999997</v>
      </c>
      <c r="R73" s="38"/>
      <c r="S73" s="97"/>
      <c r="T73" s="147">
        <f t="shared" si="9"/>
        <v>0</v>
      </c>
    </row>
    <row r="74" spans="2:20" ht="18">
      <c r="B74" s="23" t="s">
        <v>30</v>
      </c>
      <c r="C74" s="73">
        <v>33010000</v>
      </c>
      <c r="D74" s="180">
        <f>7459+9700-6864</f>
        <v>10295</v>
      </c>
      <c r="E74" s="180">
        <f>D74</f>
        <v>10295</v>
      </c>
      <c r="F74" s="181">
        <v>10435.77</v>
      </c>
      <c r="G74" s="162">
        <f t="shared" si="23"/>
        <v>140.77000000000044</v>
      </c>
      <c r="H74" s="164">
        <f>F74/E74*100</f>
        <v>101.36736279747451</v>
      </c>
      <c r="I74" s="167">
        <f t="shared" si="24"/>
        <v>140.77000000000044</v>
      </c>
      <c r="J74" s="167">
        <f>F74/D74*100</f>
        <v>101.36736279747451</v>
      </c>
      <c r="K74" s="167">
        <v>8374.15</v>
      </c>
      <c r="L74" s="167">
        <f t="shared" si="25"/>
        <v>2061.620000000001</v>
      </c>
      <c r="M74" s="211">
        <f>F74/K74</f>
        <v>1.246188568392016</v>
      </c>
      <c r="N74" s="164">
        <f>E74-листопад!E74</f>
        <v>40.68999999999869</v>
      </c>
      <c r="O74" s="168">
        <f>F74-листопад!F74</f>
        <v>3142.1400000000003</v>
      </c>
      <c r="P74" s="167">
        <f t="shared" si="26"/>
        <v>3101.4500000000016</v>
      </c>
      <c r="Q74" s="167">
        <f>O74/N74*100</f>
        <v>7722.143032686414</v>
      </c>
      <c r="R74" s="38"/>
      <c r="S74" s="97"/>
      <c r="T74" s="147">
        <f aca="true" t="shared" si="27" ref="T74:T90">D74-E74</f>
        <v>0</v>
      </c>
    </row>
    <row r="75" spans="2:20" ht="31.5">
      <c r="B75" s="23" t="s">
        <v>54</v>
      </c>
      <c r="C75" s="73">
        <v>24170000</v>
      </c>
      <c r="D75" s="180">
        <f>6000+10000-3600</f>
        <v>12400</v>
      </c>
      <c r="E75" s="180">
        <f>D75</f>
        <v>12400</v>
      </c>
      <c r="F75" s="181">
        <v>12593.19</v>
      </c>
      <c r="G75" s="162">
        <f t="shared" si="23"/>
        <v>193.1900000000005</v>
      </c>
      <c r="H75" s="164">
        <f>F75/E75*100</f>
        <v>101.55798387096775</v>
      </c>
      <c r="I75" s="167">
        <f t="shared" si="24"/>
        <v>193.1900000000005</v>
      </c>
      <c r="J75" s="167">
        <f>F75/D75*100</f>
        <v>101.55798387096775</v>
      </c>
      <c r="K75" s="167">
        <v>2315.93</v>
      </c>
      <c r="L75" s="167">
        <f t="shared" si="25"/>
        <v>10277.26</v>
      </c>
      <c r="M75" s="211">
        <f>F75/K75</f>
        <v>5.4376384433035545</v>
      </c>
      <c r="N75" s="164">
        <f>E75-листопад!E75</f>
        <v>3899.1499999999996</v>
      </c>
      <c r="O75" s="168">
        <f>F75-листопад!F75</f>
        <v>218.0600000000013</v>
      </c>
      <c r="P75" s="167">
        <f t="shared" si="26"/>
        <v>-3681.0899999999983</v>
      </c>
      <c r="Q75" s="167">
        <f>O75/N75*100</f>
        <v>5.592500929689838</v>
      </c>
      <c r="R75" s="38"/>
      <c r="S75" s="97"/>
      <c r="T75" s="147">
        <f t="shared" si="27"/>
        <v>0</v>
      </c>
    </row>
    <row r="76" spans="2:20" ht="18">
      <c r="B76" s="23" t="s">
        <v>103</v>
      </c>
      <c r="C76" s="73">
        <v>24110700</v>
      </c>
      <c r="D76" s="180">
        <v>12</v>
      </c>
      <c r="E76" s="180">
        <f>D76</f>
        <v>12</v>
      </c>
      <c r="F76" s="181">
        <v>13</v>
      </c>
      <c r="G76" s="162">
        <f t="shared" si="23"/>
        <v>1</v>
      </c>
      <c r="H76" s="164">
        <f>F76/E76*100</f>
        <v>108.33333333333333</v>
      </c>
      <c r="I76" s="167">
        <f t="shared" si="24"/>
        <v>1</v>
      </c>
      <c r="J76" s="167">
        <f>F76/D76*100</f>
        <v>108.33333333333333</v>
      </c>
      <c r="K76" s="167">
        <v>0</v>
      </c>
      <c r="L76" s="167">
        <f t="shared" si="25"/>
        <v>13</v>
      </c>
      <c r="M76" s="211"/>
      <c r="N76" s="164">
        <f>E76-листопад!E76</f>
        <v>1</v>
      </c>
      <c r="O76" s="168">
        <f>F76-листопад!F76</f>
        <v>1</v>
      </c>
      <c r="P76" s="167">
        <f t="shared" si="26"/>
        <v>0</v>
      </c>
      <c r="Q76" s="167">
        <f>O76/N76*100</f>
        <v>100</v>
      </c>
      <c r="R76" s="38"/>
      <c r="S76" s="136"/>
      <c r="T76" s="147">
        <f t="shared" si="27"/>
        <v>0</v>
      </c>
    </row>
    <row r="77" spans="2:20" ht="33">
      <c r="B77" s="28" t="s">
        <v>51</v>
      </c>
      <c r="C77" s="65"/>
      <c r="D77" s="183">
        <f>D73+D74+D75+D76</f>
        <v>25707</v>
      </c>
      <c r="E77" s="183">
        <f>E73+E74+E75+E76</f>
        <v>25707</v>
      </c>
      <c r="F77" s="184">
        <f>F73+F74+F75+F76</f>
        <v>27660.95</v>
      </c>
      <c r="G77" s="185">
        <f t="shared" si="23"/>
        <v>1953.9500000000007</v>
      </c>
      <c r="H77" s="186">
        <f>F77/E77*100</f>
        <v>107.60084801804956</v>
      </c>
      <c r="I77" s="187">
        <f t="shared" si="24"/>
        <v>1953.9500000000007</v>
      </c>
      <c r="J77" s="187">
        <f>F77/D77*100</f>
        <v>107.60084801804956</v>
      </c>
      <c r="K77" s="187">
        <v>11309.15</v>
      </c>
      <c r="L77" s="187">
        <f t="shared" si="25"/>
        <v>16351.800000000001</v>
      </c>
      <c r="M77" s="217">
        <f>F77/K77</f>
        <v>2.445891158928832</v>
      </c>
      <c r="N77" s="185">
        <f>N73+N74+N75+N76</f>
        <v>2740.8399999999983</v>
      </c>
      <c r="O77" s="189">
        <f>O73+O74+O75+O76</f>
        <v>5719.560000000001</v>
      </c>
      <c r="P77" s="187">
        <f t="shared" si="26"/>
        <v>2978.720000000003</v>
      </c>
      <c r="Q77" s="187">
        <f>O77/N77*100</f>
        <v>208.67909108156638</v>
      </c>
      <c r="R77" s="39"/>
      <c r="S77" s="116"/>
      <c r="T77" s="147">
        <f t="shared" si="27"/>
        <v>0</v>
      </c>
    </row>
    <row r="78" spans="2:20" ht="46.5">
      <c r="B78" s="12" t="s">
        <v>40</v>
      </c>
      <c r="C78" s="75">
        <v>24062100</v>
      </c>
      <c r="D78" s="180">
        <f>1+49</f>
        <v>50</v>
      </c>
      <c r="E78" s="180">
        <f>D78</f>
        <v>50</v>
      </c>
      <c r="F78" s="181">
        <v>69.99</v>
      </c>
      <c r="G78" s="162">
        <f t="shared" si="23"/>
        <v>19.989999999999995</v>
      </c>
      <c r="H78" s="164"/>
      <c r="I78" s="167">
        <f t="shared" si="24"/>
        <v>19.989999999999995</v>
      </c>
      <c r="J78" s="167"/>
      <c r="K78" s="167">
        <v>1.07</v>
      </c>
      <c r="L78" s="167">
        <f t="shared" si="25"/>
        <v>68.92</v>
      </c>
      <c r="M78" s="211">
        <f>F78/K78</f>
        <v>65.41121495327101</v>
      </c>
      <c r="N78" s="164">
        <f>E78-листопад!E78</f>
        <v>50</v>
      </c>
      <c r="O78" s="168">
        <f>F78-листопад!F78</f>
        <v>16.049999999999997</v>
      </c>
      <c r="P78" s="167">
        <f t="shared" si="26"/>
        <v>-33.95</v>
      </c>
      <c r="Q78" s="167"/>
      <c r="R78" s="38"/>
      <c r="S78" s="97"/>
      <c r="T78" s="147">
        <f t="shared" si="27"/>
        <v>0</v>
      </c>
    </row>
    <row r="79" spans="2:20" ht="18" hidden="1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 t="shared" si="23"/>
        <v>0</v>
      </c>
      <c r="H79" s="164"/>
      <c r="I79" s="167">
        <f t="shared" si="24"/>
        <v>0</v>
      </c>
      <c r="J79" s="190"/>
      <c r="K79" s="167">
        <v>0</v>
      </c>
      <c r="L79" s="167">
        <f t="shared" si="25"/>
        <v>0</v>
      </c>
      <c r="M79" s="211" t="e">
        <f>F79/K79</f>
        <v>#DIV/0!</v>
      </c>
      <c r="N79" s="164">
        <f>E79-листопад!E79</f>
        <v>0</v>
      </c>
      <c r="O79" s="168">
        <f>F79-листопад!F79</f>
        <v>0</v>
      </c>
      <c r="P79" s="167">
        <f t="shared" si="26"/>
        <v>0</v>
      </c>
      <c r="Q79" s="190"/>
      <c r="R79" s="41"/>
      <c r="S79" s="99"/>
      <c r="T79" s="147">
        <f t="shared" si="27"/>
        <v>0</v>
      </c>
    </row>
    <row r="80" spans="2:20" ht="18">
      <c r="B80" s="23" t="s">
        <v>46</v>
      </c>
      <c r="C80" s="73">
        <v>19010000</v>
      </c>
      <c r="D80" s="180">
        <f>9500-1150</f>
        <v>8350</v>
      </c>
      <c r="E80" s="180">
        <f>D80</f>
        <v>8350</v>
      </c>
      <c r="F80" s="181">
        <v>8352.68</v>
      </c>
      <c r="G80" s="162">
        <f t="shared" si="23"/>
        <v>2.680000000000291</v>
      </c>
      <c r="H80" s="164">
        <f>F80/E80*100</f>
        <v>100.03209580838323</v>
      </c>
      <c r="I80" s="167">
        <f t="shared" si="24"/>
        <v>2.680000000000291</v>
      </c>
      <c r="J80" s="167">
        <f>F80/D80*100</f>
        <v>100.03209580838323</v>
      </c>
      <c r="K80" s="167">
        <v>0</v>
      </c>
      <c r="L80" s="167">
        <f t="shared" si="25"/>
        <v>8352.68</v>
      </c>
      <c r="M80" s="211"/>
      <c r="N80" s="164">
        <f>E80-листопад!E80</f>
        <v>-1148.7000000000007</v>
      </c>
      <c r="O80" s="168">
        <f>F80-листопад!F80</f>
        <v>2.0200000000004366</v>
      </c>
      <c r="P80" s="167">
        <f>O80-N80</f>
        <v>1150.7200000000012</v>
      </c>
      <c r="Q80" s="190">
        <f>O80/N80*100</f>
        <v>-0.17585096195703276</v>
      </c>
      <c r="R80" s="41"/>
      <c r="S80" s="99"/>
      <c r="T80" s="147">
        <f t="shared" si="27"/>
        <v>0</v>
      </c>
    </row>
    <row r="81" spans="2:20" ht="31.5">
      <c r="B81" s="23" t="s">
        <v>50</v>
      </c>
      <c r="C81" s="73">
        <v>19050000</v>
      </c>
      <c r="D81" s="180">
        <v>0</v>
      </c>
      <c r="E81" s="180">
        <f>D81</f>
        <v>0</v>
      </c>
      <c r="F81" s="181">
        <v>1.48</v>
      </c>
      <c r="G81" s="162">
        <f t="shared" si="23"/>
        <v>1.48</v>
      </c>
      <c r="H81" s="164"/>
      <c r="I81" s="167">
        <f t="shared" si="24"/>
        <v>1.48</v>
      </c>
      <c r="J81" s="167"/>
      <c r="K81" s="167">
        <v>1.43</v>
      </c>
      <c r="L81" s="167">
        <f t="shared" si="25"/>
        <v>0.050000000000000044</v>
      </c>
      <c r="M81" s="211">
        <f>F81/K81</f>
        <v>1.034965034965035</v>
      </c>
      <c r="N81" s="164">
        <f>E81-листопад!E81</f>
        <v>0</v>
      </c>
      <c r="O81" s="168">
        <f>F81-листопад!F81</f>
        <v>0</v>
      </c>
      <c r="P81" s="167">
        <f t="shared" si="26"/>
        <v>0</v>
      </c>
      <c r="Q81" s="167"/>
      <c r="R81" s="38"/>
      <c r="S81" s="97"/>
      <c r="T81" s="147">
        <f t="shared" si="27"/>
        <v>0</v>
      </c>
    </row>
    <row r="82" spans="2:20" ht="30">
      <c r="B82" s="28" t="s">
        <v>47</v>
      </c>
      <c r="C82" s="73"/>
      <c r="D82" s="183">
        <f>D78+D81+D79+D80</f>
        <v>8400</v>
      </c>
      <c r="E82" s="183">
        <f>E78+E81+E79+E80</f>
        <v>8400</v>
      </c>
      <c r="F82" s="184">
        <f>F78+F81+F79+F80</f>
        <v>8424.15</v>
      </c>
      <c r="G82" s="183">
        <f>G78+G81+G79+G80</f>
        <v>24.150000000000286</v>
      </c>
      <c r="H82" s="186">
        <f>F82/E82*100</f>
        <v>100.2875</v>
      </c>
      <c r="I82" s="187">
        <f t="shared" si="24"/>
        <v>24.149999999999636</v>
      </c>
      <c r="J82" s="187">
        <f>F82/D82*100</f>
        <v>100.2875</v>
      </c>
      <c r="K82" s="187">
        <v>2.5</v>
      </c>
      <c r="L82" s="187">
        <f t="shared" si="25"/>
        <v>8421.65</v>
      </c>
      <c r="M82" s="225">
        <f>F82/K82</f>
        <v>3369.66</v>
      </c>
      <c r="N82" s="185">
        <f>N78+N81+N79+N80</f>
        <v>-1098.7000000000007</v>
      </c>
      <c r="O82" s="189">
        <f>O78+O81+O79+O80</f>
        <v>18.070000000000434</v>
      </c>
      <c r="P82" s="185">
        <f>P78+P81+P79+P80</f>
        <v>1116.7700000000011</v>
      </c>
      <c r="Q82" s="187">
        <f>O82/N82*100</f>
        <v>-1.6446709747884247</v>
      </c>
      <c r="R82" s="39"/>
      <c r="S82" s="96"/>
      <c r="T82" s="147">
        <f t="shared" si="27"/>
        <v>0</v>
      </c>
    </row>
    <row r="83" spans="2:20" ht="30.75">
      <c r="B83" s="12" t="s">
        <v>41</v>
      </c>
      <c r="C83" s="43">
        <v>24110900</v>
      </c>
      <c r="D83" s="180">
        <f>43-16</f>
        <v>27</v>
      </c>
      <c r="E83" s="180">
        <f>D83</f>
        <v>27</v>
      </c>
      <c r="F83" s="181">
        <v>35.33</v>
      </c>
      <c r="G83" s="162">
        <f t="shared" si="23"/>
        <v>8.329999999999998</v>
      </c>
      <c r="H83" s="164">
        <f>F83/E83*100</f>
        <v>130.85185185185185</v>
      </c>
      <c r="I83" s="167">
        <f t="shared" si="24"/>
        <v>8.329999999999998</v>
      </c>
      <c r="J83" s="167">
        <f>F83/D83*100</f>
        <v>130.85185185185185</v>
      </c>
      <c r="K83" s="167">
        <v>38.99</v>
      </c>
      <c r="L83" s="167">
        <f t="shared" si="25"/>
        <v>-3.6600000000000037</v>
      </c>
      <c r="M83" s="211">
        <f>F83/K83</f>
        <v>0.9061297768658629</v>
      </c>
      <c r="N83" s="164">
        <f>E83-листопад!E83</f>
        <v>-3.3599999999999994</v>
      </c>
      <c r="O83" s="168">
        <f>F83-листопад!F83</f>
        <v>7.539999999999999</v>
      </c>
      <c r="P83" s="167">
        <f t="shared" si="26"/>
        <v>10.899999999999999</v>
      </c>
      <c r="Q83" s="167">
        <f>O83/N83</f>
        <v>-2.244047619047619</v>
      </c>
      <c r="R83" s="38"/>
      <c r="S83" s="97"/>
      <c r="T83" s="147">
        <f t="shared" si="27"/>
        <v>0</v>
      </c>
    </row>
    <row r="84" spans="2:20" ht="18" hidden="1">
      <c r="B84" s="122"/>
      <c r="C84" s="43"/>
      <c r="D84" s="180"/>
      <c r="E84" s="180"/>
      <c r="F84" s="181"/>
      <c r="G84" s="162"/>
      <c r="H84" s="164"/>
      <c r="I84" s="167"/>
      <c r="J84" s="167"/>
      <c r="K84" s="167">
        <v>0</v>
      </c>
      <c r="L84" s="167"/>
      <c r="M84" s="167"/>
      <c r="N84" s="164" t="e">
        <f>E84-#REF!</f>
        <v>#REF!</v>
      </c>
      <c r="O84" s="168" t="e">
        <f>F84-#REF!</f>
        <v>#REF!</v>
      </c>
      <c r="P84" s="167" t="e">
        <f t="shared" si="26"/>
        <v>#REF!</v>
      </c>
      <c r="Q84" s="167"/>
      <c r="R84" s="38"/>
      <c r="S84" s="97"/>
      <c r="T84" s="147">
        <f t="shared" si="27"/>
        <v>0</v>
      </c>
    </row>
    <row r="85" spans="2:20" ht="23.25" customHeight="1">
      <c r="B85" s="14" t="s">
        <v>31</v>
      </c>
      <c r="C85" s="66"/>
      <c r="D85" s="191">
        <f>D71+D83+D77+D82</f>
        <v>34134</v>
      </c>
      <c r="E85" s="191">
        <f>E71+E83+E77+E82</f>
        <v>34134</v>
      </c>
      <c r="F85" s="236">
        <f>F71+F83+F77+F82+F84</f>
        <v>36110.25</v>
      </c>
      <c r="G85" s="192">
        <f>F85-E85</f>
        <v>1976.25</v>
      </c>
      <c r="H85" s="193">
        <f>F85/E85*100</f>
        <v>105.78968184215152</v>
      </c>
      <c r="I85" s="194">
        <f>F85-D85</f>
        <v>1976.25</v>
      </c>
      <c r="J85" s="194">
        <f>F85/D85*100</f>
        <v>105.78968184215152</v>
      </c>
      <c r="K85" s="194">
        <v>11294.63</v>
      </c>
      <c r="L85" s="194">
        <f>F85-K85</f>
        <v>24815.620000000003</v>
      </c>
      <c r="M85" s="226">
        <f>F85/K85</f>
        <v>3.1971166828838133</v>
      </c>
      <c r="N85" s="191">
        <f>N71+N83+N77+N82</f>
        <v>1638.7799999999975</v>
      </c>
      <c r="O85" s="191" t="e">
        <f>O71+O83+O77+O82+O84</f>
        <v>#REF!</v>
      </c>
      <c r="P85" s="194" t="e">
        <f t="shared" si="26"/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 t="shared" si="27"/>
        <v>0</v>
      </c>
    </row>
    <row r="86" spans="2:20" ht="17.25">
      <c r="B86" s="21" t="s">
        <v>32</v>
      </c>
      <c r="C86" s="66"/>
      <c r="D86" s="191">
        <f>D64+D85</f>
        <v>1076859.73</v>
      </c>
      <c r="E86" s="191">
        <f>E64+E85</f>
        <v>1076859.73</v>
      </c>
      <c r="F86" s="191">
        <f>F64+F85</f>
        <v>1089679.7600000002</v>
      </c>
      <c r="G86" s="192">
        <f>F86-E86</f>
        <v>12820.03000000026</v>
      </c>
      <c r="H86" s="193">
        <f>F86/E86*100</f>
        <v>101.19050138498542</v>
      </c>
      <c r="I86" s="194">
        <f>F86-D86</f>
        <v>12820.03000000026</v>
      </c>
      <c r="J86" s="194">
        <f>F86/D86*100</f>
        <v>101.19050138498542</v>
      </c>
      <c r="K86" s="194">
        <f>K64+K85</f>
        <v>734695.25</v>
      </c>
      <c r="L86" s="194">
        <f>F86-K86</f>
        <v>354984.51000000024</v>
      </c>
      <c r="M86" s="226">
        <f>F86/K86</f>
        <v>1.4831724582403387</v>
      </c>
      <c r="N86" s="192">
        <f>N64+N85</f>
        <v>100734.73000000004</v>
      </c>
      <c r="O86" s="192" t="e">
        <f>O64+O85</f>
        <v>#REF!</v>
      </c>
      <c r="P86" s="194" t="e">
        <f t="shared" si="26"/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 t="shared" si="27"/>
        <v>0</v>
      </c>
    </row>
    <row r="87" spans="2:20" ht="15">
      <c r="B87" s="20" t="s">
        <v>34</v>
      </c>
      <c r="O87" s="25"/>
      <c r="T87" s="147">
        <f t="shared" si="27"/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 t="shared" si="27"/>
        <v>#VALUE!</v>
      </c>
    </row>
    <row r="89" spans="2:20" ht="30.75">
      <c r="B89" s="52" t="s">
        <v>53</v>
      </c>
      <c r="C89" s="29">
        <f>IF(P64&lt;0,ABS(P64/C88),0)</f>
        <v>0</v>
      </c>
      <c r="D89" s="4" t="s">
        <v>24</v>
      </c>
      <c r="G89" s="268"/>
      <c r="H89" s="268"/>
      <c r="I89" s="268"/>
      <c r="J89" s="268"/>
      <c r="K89" s="84"/>
      <c r="L89" s="84"/>
      <c r="M89" s="84"/>
      <c r="Q89" s="25"/>
      <c r="R89" s="25"/>
      <c r="T89" s="147" t="e">
        <f t="shared" si="27"/>
        <v>#VALUE!</v>
      </c>
    </row>
    <row r="90" spans="2:20" ht="34.5" customHeight="1">
      <c r="B90" s="53" t="s">
        <v>55</v>
      </c>
      <c r="C90" s="81">
        <v>42734</v>
      </c>
      <c r="D90" s="29">
        <v>1029.4</v>
      </c>
      <c r="G90" s="4" t="s">
        <v>58</v>
      </c>
      <c r="O90" s="269"/>
      <c r="P90" s="269"/>
      <c r="T90" s="147">
        <f t="shared" si="27"/>
        <v>1029.4</v>
      </c>
    </row>
    <row r="91" spans="3:16" ht="15">
      <c r="C91" s="81">
        <v>42733</v>
      </c>
      <c r="D91" s="29">
        <v>10489.6</v>
      </c>
      <c r="F91" s="113" t="s">
        <v>58</v>
      </c>
      <c r="G91" s="270"/>
      <c r="H91" s="270"/>
      <c r="I91" s="118"/>
      <c r="J91" s="271"/>
      <c r="K91" s="271"/>
      <c r="L91" s="271"/>
      <c r="M91" s="271"/>
      <c r="N91" s="271"/>
      <c r="O91" s="269"/>
      <c r="P91" s="269"/>
    </row>
    <row r="92" spans="3:16" ht="15.75" customHeight="1">
      <c r="C92" s="81">
        <v>42732</v>
      </c>
      <c r="D92" s="29">
        <v>19085.6</v>
      </c>
      <c r="F92" s="68"/>
      <c r="G92" s="270"/>
      <c r="H92" s="270"/>
      <c r="I92" s="118"/>
      <c r="J92" s="272"/>
      <c r="K92" s="272"/>
      <c r="L92" s="272"/>
      <c r="M92" s="272"/>
      <c r="N92" s="272"/>
      <c r="O92" s="269"/>
      <c r="P92" s="269"/>
    </row>
    <row r="93" spans="3:14" ht="15.75" customHeight="1">
      <c r="C93" s="81"/>
      <c r="F93" s="68"/>
      <c r="G93" s="276"/>
      <c r="H93" s="276"/>
      <c r="I93" s="124"/>
      <c r="J93" s="271"/>
      <c r="K93" s="271"/>
      <c r="L93" s="271"/>
      <c r="M93" s="271"/>
      <c r="N93" s="271"/>
    </row>
    <row r="94" spans="2:14" ht="18.75" customHeight="1">
      <c r="B94" s="277" t="s">
        <v>56</v>
      </c>
      <c r="C94" s="278"/>
      <c r="D94" s="133">
        <f>'[1]залишки  (2)'!$G$6/1000</f>
        <v>0.00256</v>
      </c>
      <c r="E94" s="69"/>
      <c r="F94" s="125" t="s">
        <v>110</v>
      </c>
      <c r="G94" s="270"/>
      <c r="H94" s="270"/>
      <c r="I94" s="126"/>
      <c r="J94" s="271"/>
      <c r="K94" s="271"/>
      <c r="L94" s="271"/>
      <c r="M94" s="271"/>
      <c r="N94" s="271"/>
    </row>
    <row r="95" spans="6:13" ht="9" customHeight="1">
      <c r="F95" s="68"/>
      <c r="G95" s="270"/>
      <c r="H95" s="270"/>
      <c r="I95" s="68"/>
      <c r="J95" s="69"/>
      <c r="K95" s="69"/>
      <c r="L95" s="69"/>
      <c r="M95" s="69"/>
    </row>
    <row r="96" spans="2:13" ht="22.5" customHeight="1" hidden="1">
      <c r="B96" s="273" t="s">
        <v>59</v>
      </c>
      <c r="C96" s="274"/>
      <c r="D96" s="80">
        <v>0</v>
      </c>
      <c r="E96" s="51" t="s">
        <v>24</v>
      </c>
      <c r="F96" s="68"/>
      <c r="G96" s="270"/>
      <c r="H96" s="270"/>
      <c r="I96" s="68"/>
      <c r="J96" s="69"/>
      <c r="K96" s="69"/>
      <c r="L96" s="69"/>
      <c r="M96" s="69"/>
    </row>
    <row r="97" spans="2:16" ht="15" hidden="1">
      <c r="B97" s="4" t="s">
        <v>171</v>
      </c>
      <c r="D97" s="68">
        <f>D45+D48+D49</f>
        <v>1019</v>
      </c>
      <c r="E97" s="68">
        <f>E45+E48+E49</f>
        <v>1019</v>
      </c>
      <c r="F97" s="205">
        <f>F45+F48+F49</f>
        <v>1136.9399999999998</v>
      </c>
      <c r="G97" s="68">
        <f>G45+G48+G49</f>
        <v>117.94000000000004</v>
      </c>
      <c r="H97" s="69"/>
      <c r="I97" s="69"/>
      <c r="N97" s="29">
        <f>N45+N48+N49</f>
        <v>39</v>
      </c>
      <c r="O97" s="204">
        <f>O45+O48+O49</f>
        <v>205.35000000000008</v>
      </c>
      <c r="P97" s="29">
        <f>P45+P48+P49</f>
        <v>166.35000000000008</v>
      </c>
    </row>
    <row r="98" spans="4:16" ht="15" hidden="1">
      <c r="D98" s="78"/>
      <c r="I98" s="29"/>
      <c r="O98" s="275"/>
      <c r="P98" s="275"/>
    </row>
    <row r="99" spans="2:17" ht="15" hidden="1">
      <c r="B99" s="4" t="s">
        <v>157</v>
      </c>
      <c r="D99" s="29">
        <f>D9+D15+D17+D18+D19+D20+D39+D42+D56+D62+D63</f>
        <v>975925.6500000001</v>
      </c>
      <c r="E99" s="29">
        <f>E9+E15+E17+E18+E19+E20+E39+E42+E56+E62+E63</f>
        <v>975925.6500000001</v>
      </c>
      <c r="F99" s="234">
        <f>F9+F15+F17+F18+F19+F20+F39+F42+F56+F62+F63</f>
        <v>985370.43</v>
      </c>
      <c r="G99" s="29">
        <f>F99-E99</f>
        <v>9444.779999999912</v>
      </c>
      <c r="H99" s="235">
        <f>F99/E99</f>
        <v>1.009677765924074</v>
      </c>
      <c r="I99" s="29">
        <f>F99-D99</f>
        <v>9444.779999999912</v>
      </c>
      <c r="J99" s="235">
        <f>F99/D99</f>
        <v>1.009677765924074</v>
      </c>
      <c r="N99" s="29">
        <f>N9+N15+N17+N18+N19+N20+N39+N42+N44+N56+N62+N63</f>
        <v>91152.73000000004</v>
      </c>
      <c r="O99" s="234">
        <f>O9+O15+O17+O18+O19+O20+O39+O42+O44+O56+O62+O63</f>
        <v>94204.60000000012</v>
      </c>
      <c r="P99" s="29">
        <f>O99-N99</f>
        <v>3051.8700000000827</v>
      </c>
      <c r="Q99" s="235">
        <f>O99/N99</f>
        <v>1.0334808403434552</v>
      </c>
    </row>
    <row r="100" spans="2:17" ht="15" hidden="1">
      <c r="B100" s="4" t="s">
        <v>158</v>
      </c>
      <c r="D100" s="29">
        <f>D40+D41+D43+D45+D47+D48+D49+D50+D51+D57+D61+D44</f>
        <v>66800.08</v>
      </c>
      <c r="E100" s="29">
        <f>E40+E41+E43+E45+E47+E48+E49+E50+E51+E57+E61+E44</f>
        <v>66800.08</v>
      </c>
      <c r="F100" s="234">
        <f>F40+F41+F43+F45+F47+F48+F49+F50+F51+F57+F61+F44</f>
        <v>68199.08</v>
      </c>
      <c r="G100" s="29">
        <f>G40+G41+G43+G45+G47+G48+G49+G50+G51+G57+G61+G44</f>
        <v>1399</v>
      </c>
      <c r="H100" s="235">
        <f>F100/E100</f>
        <v>1.0209430886909117</v>
      </c>
      <c r="I100" s="29">
        <f>I40+I41+I43+I45+I47+I48+I49+I50+I51+I57+I61+I44</f>
        <v>1399</v>
      </c>
      <c r="J100" s="235">
        <f>F100/D100</f>
        <v>1.0209430886909117</v>
      </c>
      <c r="K100" s="29">
        <f aca="true" t="shared" si="28" ref="K100:P100">K40+K41+K43+K45+K47+K48+K49+K50+K51+K57+K61+K44</f>
        <v>50668.47</v>
      </c>
      <c r="L100" s="29">
        <f t="shared" si="28"/>
        <v>17530.610000000004</v>
      </c>
      <c r="M100" s="29">
        <f t="shared" si="28"/>
        <v>17.329711026889246</v>
      </c>
      <c r="N100" s="29">
        <f t="shared" si="28"/>
        <v>8014.220000000001</v>
      </c>
      <c r="O100" s="234">
        <f t="shared" si="28"/>
        <v>7664.910000000001</v>
      </c>
      <c r="P100" s="29">
        <f t="shared" si="28"/>
        <v>-279.3100000000006</v>
      </c>
      <c r="Q100" s="235">
        <f>O100/N100</f>
        <v>0.9564137246045155</v>
      </c>
    </row>
    <row r="101" spans="2:17" ht="15" hidden="1">
      <c r="B101" s="4" t="s">
        <v>159</v>
      </c>
      <c r="D101" s="29">
        <f>SUM(D99:D100)</f>
        <v>1042725.7300000001</v>
      </c>
      <c r="E101" s="29">
        <f aca="true" t="shared" si="29" ref="E101:P101">SUM(E99:E100)</f>
        <v>1042725.7300000001</v>
      </c>
      <c r="F101" s="234">
        <f t="shared" si="29"/>
        <v>1053569.51</v>
      </c>
      <c r="G101" s="29">
        <f t="shared" si="29"/>
        <v>10843.779999999912</v>
      </c>
      <c r="H101" s="235">
        <f>F101/E101</f>
        <v>1.0103994556651057</v>
      </c>
      <c r="I101" s="29">
        <f t="shared" si="29"/>
        <v>10843.779999999912</v>
      </c>
      <c r="J101" s="235">
        <f>F101/D101</f>
        <v>1.0103994556651057</v>
      </c>
      <c r="K101" s="29">
        <f t="shared" si="29"/>
        <v>50668.47</v>
      </c>
      <c r="L101" s="29">
        <f t="shared" si="29"/>
        <v>17530.610000000004</v>
      </c>
      <c r="M101" s="29">
        <f t="shared" si="29"/>
        <v>17.329711026889246</v>
      </c>
      <c r="N101" s="29">
        <f t="shared" si="29"/>
        <v>99166.95000000004</v>
      </c>
      <c r="O101" s="234">
        <f t="shared" si="29"/>
        <v>101869.51000000013</v>
      </c>
      <c r="P101" s="29">
        <f t="shared" si="29"/>
        <v>2772.5600000000823</v>
      </c>
      <c r="Q101" s="235">
        <f>O101/N101</f>
        <v>1.0272526280177023</v>
      </c>
    </row>
    <row r="102" spans="4:21" ht="15" hidden="1">
      <c r="D102" s="29">
        <f>D64-D101</f>
        <v>0</v>
      </c>
      <c r="E102" s="29">
        <f aca="true" t="shared" si="30" ref="E102:U102">E64-E101</f>
        <v>0</v>
      </c>
      <c r="F102" s="29">
        <f t="shared" si="30"/>
        <v>0</v>
      </c>
      <c r="G102" s="29">
        <f t="shared" si="30"/>
        <v>2.3283064365386963E-10</v>
      </c>
      <c r="H102" s="235"/>
      <c r="I102" s="29">
        <f t="shared" si="30"/>
        <v>2.3283064365386963E-10</v>
      </c>
      <c r="J102" s="235"/>
      <c r="K102" s="29">
        <f t="shared" si="30"/>
        <v>672732.15</v>
      </c>
      <c r="L102" s="29">
        <f t="shared" si="30"/>
        <v>312638.28000000026</v>
      </c>
      <c r="M102" s="29">
        <f t="shared" si="30"/>
        <v>-15.873298797107081</v>
      </c>
      <c r="N102" s="29">
        <f t="shared" si="30"/>
        <v>-71</v>
      </c>
      <c r="O102" s="29">
        <f t="shared" si="30"/>
        <v>-1</v>
      </c>
      <c r="P102" s="29">
        <f t="shared" si="30"/>
        <v>0</v>
      </c>
      <c r="Q102" s="29"/>
      <c r="R102" s="29">
        <f t="shared" si="30"/>
        <v>67100.51000000013</v>
      </c>
      <c r="S102" s="29">
        <f t="shared" si="30"/>
        <v>2.9299502416014764</v>
      </c>
      <c r="T102" s="29">
        <f t="shared" si="30"/>
        <v>0</v>
      </c>
      <c r="U102" s="29">
        <f t="shared" si="30"/>
        <v>0</v>
      </c>
    </row>
    <row r="103" ht="15" hidden="1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968503937007874" right="0" top="0.1968503937007874" bottom="0.15748031496062992" header="0" footer="0"/>
  <pageSetup fitToHeight="1" fitToWidth="1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7" zoomScaleNormal="77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18" sqref="D18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242" t="s">
        <v>160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86"/>
      <c r="S1" s="87"/>
    </row>
    <row r="2" spans="2:19" s="1" customFormat="1" ht="15.75" customHeight="1">
      <c r="B2" s="243"/>
      <c r="C2" s="243"/>
      <c r="D2" s="243"/>
      <c r="E2" s="2"/>
      <c r="F2" s="112"/>
      <c r="G2" s="2"/>
      <c r="H2" s="2"/>
      <c r="M2" s="1" t="s">
        <v>24</v>
      </c>
      <c r="Q2" s="17" t="s">
        <v>24</v>
      </c>
      <c r="R2" s="17"/>
      <c r="S2" s="88"/>
    </row>
    <row r="3" spans="1:19" s="3" customFormat="1" ht="13.5" customHeight="1">
      <c r="A3" s="244"/>
      <c r="B3" s="246"/>
      <c r="C3" s="247" t="s">
        <v>0</v>
      </c>
      <c r="D3" s="248" t="s">
        <v>105</v>
      </c>
      <c r="E3" s="32"/>
      <c r="F3" s="249" t="s">
        <v>26</v>
      </c>
      <c r="G3" s="250"/>
      <c r="H3" s="250"/>
      <c r="I3" s="250"/>
      <c r="J3" s="251"/>
      <c r="K3" s="83"/>
      <c r="L3" s="83"/>
      <c r="M3" s="83"/>
      <c r="N3" s="252" t="s">
        <v>163</v>
      </c>
      <c r="O3" s="255" t="s">
        <v>155</v>
      </c>
      <c r="P3" s="255"/>
      <c r="Q3" s="255"/>
      <c r="R3" s="255"/>
      <c r="S3" s="255"/>
    </row>
    <row r="4" spans="1:19" ht="22.5" customHeight="1">
      <c r="A4" s="244"/>
      <c r="B4" s="246"/>
      <c r="C4" s="247"/>
      <c r="D4" s="248"/>
      <c r="E4" s="256" t="s">
        <v>154</v>
      </c>
      <c r="F4" s="258" t="s">
        <v>33</v>
      </c>
      <c r="G4" s="260" t="s">
        <v>161</v>
      </c>
      <c r="H4" s="253" t="s">
        <v>162</v>
      </c>
      <c r="I4" s="260" t="s">
        <v>106</v>
      </c>
      <c r="J4" s="253" t="s">
        <v>107</v>
      </c>
      <c r="K4" s="85" t="s">
        <v>124</v>
      </c>
      <c r="L4" s="206" t="s">
        <v>123</v>
      </c>
      <c r="M4" s="90" t="s">
        <v>63</v>
      </c>
      <c r="N4" s="253"/>
      <c r="O4" s="262" t="s">
        <v>164</v>
      </c>
      <c r="P4" s="260" t="s">
        <v>49</v>
      </c>
      <c r="Q4" s="264" t="s">
        <v>48</v>
      </c>
      <c r="R4" s="91" t="s">
        <v>64</v>
      </c>
      <c r="S4" s="92" t="s">
        <v>63</v>
      </c>
    </row>
    <row r="5" spans="1:19" ht="67.5" customHeight="1">
      <c r="A5" s="245"/>
      <c r="B5" s="246"/>
      <c r="C5" s="247"/>
      <c r="D5" s="248"/>
      <c r="E5" s="257"/>
      <c r="F5" s="259"/>
      <c r="G5" s="261"/>
      <c r="H5" s="254"/>
      <c r="I5" s="261"/>
      <c r="J5" s="254"/>
      <c r="K5" s="265" t="s">
        <v>156</v>
      </c>
      <c r="L5" s="266"/>
      <c r="M5" s="267"/>
      <c r="N5" s="254"/>
      <c r="O5" s="263"/>
      <c r="P5" s="261"/>
      <c r="Q5" s="264"/>
      <c r="R5" s="265" t="s">
        <v>104</v>
      </c>
      <c r="S5" s="267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957071.4500000001</v>
      </c>
      <c r="E8" s="151">
        <f>E9+E15+E18+E19+E20+E37+E17</f>
        <v>884421.85</v>
      </c>
      <c r="F8" s="151">
        <f>F9+F15+F18+F19+F20+F37+F17</f>
        <v>890598.47</v>
      </c>
      <c r="G8" s="151">
        <f aca="true" t="shared" si="0" ref="G8:G37">F8-E8</f>
        <v>6176.619999999995</v>
      </c>
      <c r="H8" s="152">
        <f>F8/E8*100</f>
        <v>100.69837939892598</v>
      </c>
      <c r="I8" s="153">
        <f>F8-D8</f>
        <v>-66472.9800000001</v>
      </c>
      <c r="J8" s="153">
        <f>F8/D8*100</f>
        <v>93.05454362890042</v>
      </c>
      <c r="K8" s="151">
        <v>608809.78</v>
      </c>
      <c r="L8" s="151">
        <f aca="true" t="shared" si="1" ref="L8:L51">F8-K8</f>
        <v>281788.68999999994</v>
      </c>
      <c r="M8" s="207">
        <f aca="true" t="shared" si="2" ref="M8:M28">F8/K8</f>
        <v>1.4628517794178666</v>
      </c>
      <c r="N8" s="151">
        <f>N9+N15+N18+N19+N20+N17</f>
        <v>88745.92000000001</v>
      </c>
      <c r="O8" s="151">
        <f>O9+O15+O18+O19+O20+O17</f>
        <v>92979.70999999998</v>
      </c>
      <c r="P8" s="151">
        <f>O8-N8</f>
        <v>4233.7899999999645</v>
      </c>
      <c r="Q8" s="151">
        <f>O8/N8*100</f>
        <v>104.77068692284665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80</v>
      </c>
      <c r="C9" s="43">
        <v>11010000</v>
      </c>
      <c r="D9" s="150">
        <v>530589</v>
      </c>
      <c r="E9" s="150">
        <v>481720.67</v>
      </c>
      <c r="F9" s="156">
        <v>480042.75</v>
      </c>
      <c r="G9" s="150">
        <f t="shared" si="0"/>
        <v>-1677.9199999999837</v>
      </c>
      <c r="H9" s="157">
        <f>F9/E9*100</f>
        <v>99.65168195917357</v>
      </c>
      <c r="I9" s="158">
        <f>F9-D9</f>
        <v>-50546.25</v>
      </c>
      <c r="J9" s="158">
        <f>F9/D9*100</f>
        <v>90.47355863012613</v>
      </c>
      <c r="K9" s="232">
        <v>329224.03</v>
      </c>
      <c r="L9" s="159">
        <f t="shared" si="1"/>
        <v>150818.71999999997</v>
      </c>
      <c r="M9" s="208">
        <f t="shared" si="2"/>
        <v>1.458103620200506</v>
      </c>
      <c r="N9" s="157">
        <f>E9-жовтень!E9</f>
        <v>52597</v>
      </c>
      <c r="O9" s="160">
        <f>F9-жовтень!F9</f>
        <v>48759.96000000002</v>
      </c>
      <c r="P9" s="161">
        <f>O9-N9</f>
        <v>-3837.039999999979</v>
      </c>
      <c r="Q9" s="158">
        <f>O9/N9*100</f>
        <v>92.70483107401567</v>
      </c>
      <c r="R9" s="100"/>
      <c r="S9" s="101"/>
      <c r="T9" s="147">
        <f>D9-E9</f>
        <v>48868.330000000016</v>
      </c>
    </row>
    <row r="10" spans="1:20" s="6" customFormat="1" ht="18" hidden="1">
      <c r="A10" s="8"/>
      <c r="B10" s="121" t="s">
        <v>91</v>
      </c>
      <c r="C10" s="102">
        <v>11010100</v>
      </c>
      <c r="D10" s="103">
        <v>485209</v>
      </c>
      <c r="E10" s="103">
        <v>437450.24</v>
      </c>
      <c r="F10" s="140">
        <v>422134.8</v>
      </c>
      <c r="G10" s="103">
        <f t="shared" si="0"/>
        <v>-15315.440000000002</v>
      </c>
      <c r="H10" s="30">
        <f aca="true" t="shared" si="3" ref="H10:H36">F10/E10*100</f>
        <v>96.49892979827831</v>
      </c>
      <c r="I10" s="104">
        <f aca="true" t="shared" si="4" ref="I10:I37">F10-D10</f>
        <v>-63074.20000000001</v>
      </c>
      <c r="J10" s="104">
        <f aca="true" t="shared" si="5" ref="J10:J36">F10/D10*100</f>
        <v>87.00061210735993</v>
      </c>
      <c r="K10" s="106">
        <v>292222.53</v>
      </c>
      <c r="L10" s="106">
        <f t="shared" si="1"/>
        <v>129912.26999999996</v>
      </c>
      <c r="M10" s="209">
        <f t="shared" si="2"/>
        <v>1.4445662351906952</v>
      </c>
      <c r="N10" s="105">
        <f>E10-жовтень!E10</f>
        <v>51300</v>
      </c>
      <c r="O10" s="144">
        <f>F10-жовтень!F10</f>
        <v>42686.45000000001</v>
      </c>
      <c r="P10" s="106">
        <f aca="true" t="shared" si="6" ref="P10:P37">O10-N10</f>
        <v>-8613.549999999988</v>
      </c>
      <c r="Q10" s="158">
        <f aca="true" t="shared" si="7" ref="Q10:Q16">O10/N10*100</f>
        <v>83.20945419103316</v>
      </c>
      <c r="R10" s="37"/>
      <c r="S10" s="94"/>
      <c r="T10" s="147">
        <f aca="true" t="shared" si="8" ref="T10:T73">D10-E10</f>
        <v>47758.76000000001</v>
      </c>
    </row>
    <row r="11" spans="1:20" s="6" customFormat="1" ht="18" hidden="1">
      <c r="A11" s="8"/>
      <c r="B11" s="121" t="s">
        <v>87</v>
      </c>
      <c r="C11" s="102">
        <v>11010200</v>
      </c>
      <c r="D11" s="103">
        <v>23000</v>
      </c>
      <c r="E11" s="103">
        <v>22914.94</v>
      </c>
      <c r="F11" s="140">
        <v>36721.72</v>
      </c>
      <c r="G11" s="103">
        <f t="shared" si="0"/>
        <v>13806.780000000002</v>
      </c>
      <c r="H11" s="30">
        <f t="shared" si="3"/>
        <v>160.25230701018637</v>
      </c>
      <c r="I11" s="104">
        <f t="shared" si="4"/>
        <v>13721.720000000001</v>
      </c>
      <c r="J11" s="104">
        <f t="shared" si="5"/>
        <v>159.65965217391306</v>
      </c>
      <c r="K11" s="106">
        <v>17520.05</v>
      </c>
      <c r="L11" s="106">
        <f t="shared" si="1"/>
        <v>19201.670000000002</v>
      </c>
      <c r="M11" s="209">
        <f t="shared" si="2"/>
        <v>2.0959826027893755</v>
      </c>
      <c r="N11" s="105">
        <f>E11-жовтень!E11</f>
        <v>100</v>
      </c>
      <c r="O11" s="144">
        <f>F11-жовтень!F11</f>
        <v>3957.6200000000026</v>
      </c>
      <c r="P11" s="106">
        <f t="shared" si="6"/>
        <v>3857.6200000000026</v>
      </c>
      <c r="Q11" s="158">
        <f t="shared" si="7"/>
        <v>3957.6200000000026</v>
      </c>
      <c r="R11" s="37"/>
      <c r="S11" s="94"/>
      <c r="T11" s="147">
        <f t="shared" si="8"/>
        <v>85.06000000000131</v>
      </c>
    </row>
    <row r="12" spans="1:20" s="6" customFormat="1" ht="18" hidden="1">
      <c r="A12" s="8"/>
      <c r="B12" s="121" t="s">
        <v>90</v>
      </c>
      <c r="C12" s="102">
        <v>11010400</v>
      </c>
      <c r="D12" s="103">
        <v>6500</v>
      </c>
      <c r="E12" s="103">
        <v>6460.61</v>
      </c>
      <c r="F12" s="140">
        <v>9317.93</v>
      </c>
      <c r="G12" s="103">
        <f t="shared" si="0"/>
        <v>2857.3200000000006</v>
      </c>
      <c r="H12" s="30">
        <f t="shared" si="3"/>
        <v>144.22678353901568</v>
      </c>
      <c r="I12" s="104">
        <f t="shared" si="4"/>
        <v>2817.9300000000003</v>
      </c>
      <c r="J12" s="104">
        <f t="shared" si="5"/>
        <v>143.35276923076924</v>
      </c>
      <c r="K12" s="106">
        <v>4581.23</v>
      </c>
      <c r="L12" s="106">
        <f t="shared" si="1"/>
        <v>4736.700000000001</v>
      </c>
      <c r="M12" s="209">
        <f t="shared" si="2"/>
        <v>2.0339363009497453</v>
      </c>
      <c r="N12" s="105">
        <f>E12-жовтень!E12</f>
        <v>80</v>
      </c>
      <c r="O12" s="144">
        <f>F12-жовтень!F12</f>
        <v>1341.3600000000006</v>
      </c>
      <c r="P12" s="106">
        <f t="shared" si="6"/>
        <v>1261.3600000000006</v>
      </c>
      <c r="Q12" s="158">
        <f t="shared" si="7"/>
        <v>1676.7000000000007</v>
      </c>
      <c r="R12" s="37"/>
      <c r="S12" s="94"/>
      <c r="T12" s="147">
        <f t="shared" si="8"/>
        <v>39.39000000000033</v>
      </c>
    </row>
    <row r="13" spans="1:20" s="6" customFormat="1" ht="18" hidden="1">
      <c r="A13" s="8"/>
      <c r="B13" s="121" t="s">
        <v>88</v>
      </c>
      <c r="C13" s="102">
        <v>11010500</v>
      </c>
      <c r="D13" s="103">
        <v>12400</v>
      </c>
      <c r="E13" s="103">
        <v>11414.84</v>
      </c>
      <c r="F13" s="140">
        <v>8900.13</v>
      </c>
      <c r="G13" s="103">
        <f t="shared" si="0"/>
        <v>-2514.710000000001</v>
      </c>
      <c r="H13" s="30">
        <f t="shared" si="3"/>
        <v>77.96981823661127</v>
      </c>
      <c r="I13" s="104">
        <f t="shared" si="4"/>
        <v>-3499.870000000001</v>
      </c>
      <c r="J13" s="104">
        <f t="shared" si="5"/>
        <v>71.77524193548386</v>
      </c>
      <c r="K13" s="106">
        <v>6730.35</v>
      </c>
      <c r="L13" s="106">
        <f t="shared" si="1"/>
        <v>2169.779999999999</v>
      </c>
      <c r="M13" s="209">
        <f t="shared" si="2"/>
        <v>1.3223873944148519</v>
      </c>
      <c r="N13" s="105">
        <f>E13-жовтень!E13</f>
        <v>1100</v>
      </c>
      <c r="O13" s="144">
        <f>F13-жовтень!F13</f>
        <v>550.3399999999983</v>
      </c>
      <c r="P13" s="106">
        <f t="shared" si="6"/>
        <v>-549.6600000000017</v>
      </c>
      <c r="Q13" s="158">
        <f t="shared" si="7"/>
        <v>50.030909090908935</v>
      </c>
      <c r="R13" s="37"/>
      <c r="S13" s="94"/>
      <c r="T13" s="147">
        <f t="shared" si="8"/>
        <v>985.1599999999999</v>
      </c>
    </row>
    <row r="14" spans="1:22" s="6" customFormat="1" ht="18" hidden="1">
      <c r="A14" s="8"/>
      <c r="B14" s="121" t="s">
        <v>89</v>
      </c>
      <c r="C14" s="102">
        <v>11010900</v>
      </c>
      <c r="D14" s="103">
        <v>3480</v>
      </c>
      <c r="E14" s="103">
        <v>3480.04</v>
      </c>
      <c r="F14" s="140">
        <v>2968.16</v>
      </c>
      <c r="G14" s="103">
        <f t="shared" si="0"/>
        <v>-511.8800000000001</v>
      </c>
      <c r="H14" s="30">
        <f t="shared" si="3"/>
        <v>85.29097366696934</v>
      </c>
      <c r="I14" s="104">
        <f t="shared" si="4"/>
        <v>-511.84000000000015</v>
      </c>
      <c r="J14" s="104">
        <f t="shared" si="5"/>
        <v>85.2919540229885</v>
      </c>
      <c r="K14" s="106">
        <v>8169.86</v>
      </c>
      <c r="L14" s="106">
        <f t="shared" si="1"/>
        <v>-5201.7</v>
      </c>
      <c r="M14" s="209">
        <f t="shared" si="2"/>
        <v>0.3633061031645585</v>
      </c>
      <c r="N14" s="105">
        <f>E14-жовтень!E14</f>
        <v>17</v>
      </c>
      <c r="O14" s="144">
        <f>F14-жовтень!F14</f>
        <v>224.17000000000007</v>
      </c>
      <c r="P14" s="106">
        <f t="shared" si="6"/>
        <v>207.17000000000007</v>
      </c>
      <c r="Q14" s="158">
        <f t="shared" si="7"/>
        <v>1318.64705882353</v>
      </c>
      <c r="R14" s="37"/>
      <c r="S14" s="94"/>
      <c r="T14" s="147">
        <f t="shared" si="8"/>
        <v>-0.03999999999996362</v>
      </c>
      <c r="U14" s="229">
        <v>2880</v>
      </c>
      <c r="V14" s="147">
        <f>U14-T14</f>
        <v>2880.04</v>
      </c>
    </row>
    <row r="15" spans="1:20" s="6" customFormat="1" ht="30.75">
      <c r="A15" s="8"/>
      <c r="B15" s="12" t="s">
        <v>11</v>
      </c>
      <c r="C15" s="43">
        <v>11020200</v>
      </c>
      <c r="D15" s="150">
        <v>500</v>
      </c>
      <c r="E15" s="150">
        <v>495</v>
      </c>
      <c r="F15" s="156">
        <v>408.11</v>
      </c>
      <c r="G15" s="150">
        <f t="shared" si="0"/>
        <v>-86.88999999999999</v>
      </c>
      <c r="H15" s="157">
        <f>F15/E15*100</f>
        <v>82.44646464646465</v>
      </c>
      <c r="I15" s="158">
        <f t="shared" si="4"/>
        <v>-91.88999999999999</v>
      </c>
      <c r="J15" s="158">
        <f t="shared" si="5"/>
        <v>81.622</v>
      </c>
      <c r="K15" s="161">
        <v>-536.92</v>
      </c>
      <c r="L15" s="161">
        <f t="shared" si="1"/>
        <v>945.03</v>
      </c>
      <c r="M15" s="210">
        <f t="shared" si="2"/>
        <v>-0.7600946137227148</v>
      </c>
      <c r="N15" s="157">
        <f>E15-жовтень!E15</f>
        <v>115</v>
      </c>
      <c r="O15" s="160">
        <f>F15-жовтень!F15</f>
        <v>21.29000000000002</v>
      </c>
      <c r="P15" s="161">
        <f t="shared" si="6"/>
        <v>-93.70999999999998</v>
      </c>
      <c r="Q15" s="158">
        <f t="shared" si="7"/>
        <v>18.513043478260887</v>
      </c>
      <c r="R15" s="37"/>
      <c r="S15" s="94"/>
      <c r="T15" s="147">
        <f t="shared" si="8"/>
        <v>5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30" t="e">
        <f t="shared" si="3"/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10">
        <f t="shared" si="2"/>
        <v>0</v>
      </c>
      <c r="N16" s="157">
        <f>E16-жовтень!E16</f>
        <v>0</v>
      </c>
      <c r="O16" s="160">
        <f>F16-жовтень!F16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9">
        <f>O16/358.79</f>
        <v>0</v>
      </c>
      <c r="T16" s="147">
        <f t="shared" si="8"/>
        <v>0</v>
      </c>
    </row>
    <row r="17" spans="1:20" s="6" customFormat="1" ht="30.75">
      <c r="A17" s="8"/>
      <c r="B17" s="44" t="s">
        <v>142</v>
      </c>
      <c r="C17" s="120">
        <v>13010200</v>
      </c>
      <c r="D17" s="162">
        <v>0</v>
      </c>
      <c r="E17" s="162">
        <v>0</v>
      </c>
      <c r="F17" s="163">
        <v>0.17</v>
      </c>
      <c r="G17" s="162">
        <f t="shared" si="0"/>
        <v>0.17</v>
      </c>
      <c r="H17" s="164"/>
      <c r="I17" s="165">
        <f t="shared" si="4"/>
        <v>0.17</v>
      </c>
      <c r="J17" s="165"/>
      <c r="K17" s="167">
        <v>0.14</v>
      </c>
      <c r="L17" s="161">
        <f t="shared" si="1"/>
        <v>0.03</v>
      </c>
      <c r="M17" s="210">
        <f t="shared" si="2"/>
        <v>1.2142857142857142</v>
      </c>
      <c r="N17" s="157">
        <f>E17-жовтень!E17</f>
        <v>0</v>
      </c>
      <c r="O17" s="160">
        <f>F17-жовтень!F17</f>
        <v>0</v>
      </c>
      <c r="P17" s="167">
        <f t="shared" si="6"/>
        <v>0</v>
      </c>
      <c r="Q17" s="158"/>
      <c r="R17" s="104"/>
      <c r="S17" s="109"/>
      <c r="T17" s="147">
        <f t="shared" si="8"/>
        <v>0</v>
      </c>
    </row>
    <row r="18" spans="1:20" s="6" customFormat="1" ht="30.75">
      <c r="A18" s="8"/>
      <c r="B18" s="13" t="s">
        <v>143</v>
      </c>
      <c r="C18" s="43">
        <v>13030200</v>
      </c>
      <c r="D18" s="150">
        <v>105.8</v>
      </c>
      <c r="E18" s="150">
        <v>105.8</v>
      </c>
      <c r="F18" s="156">
        <v>124.7</v>
      </c>
      <c r="G18" s="150">
        <f t="shared" si="0"/>
        <v>18.900000000000006</v>
      </c>
      <c r="H18" s="157">
        <f t="shared" si="3"/>
        <v>117.86389413988658</v>
      </c>
      <c r="I18" s="158">
        <f t="shared" si="4"/>
        <v>18.900000000000006</v>
      </c>
      <c r="J18" s="158">
        <f t="shared" si="5"/>
        <v>117.86389413988658</v>
      </c>
      <c r="K18" s="161">
        <v>107.4</v>
      </c>
      <c r="L18" s="161">
        <f t="shared" si="1"/>
        <v>17.299999999999997</v>
      </c>
      <c r="M18" s="210">
        <f t="shared" si="2"/>
        <v>1.1610800744878957</v>
      </c>
      <c r="N18" s="157">
        <f>E18-жовтень!E18</f>
        <v>0</v>
      </c>
      <c r="O18" s="160">
        <f>F18-жовтень!F18</f>
        <v>18.900000000000006</v>
      </c>
      <c r="P18" s="161">
        <f t="shared" si="6"/>
        <v>18.900000000000006</v>
      </c>
      <c r="Q18" s="158"/>
      <c r="R18" s="37"/>
      <c r="S18" s="94"/>
      <c r="T18" s="147">
        <f t="shared" si="8"/>
        <v>0</v>
      </c>
    </row>
    <row r="19" spans="1:21" s="6" customFormat="1" ht="46.5">
      <c r="A19" s="8"/>
      <c r="B19" s="44" t="s">
        <v>72</v>
      </c>
      <c r="C19" s="43">
        <v>14040000</v>
      </c>
      <c r="D19" s="150">
        <v>109900</v>
      </c>
      <c r="E19" s="150">
        <v>101400.4</v>
      </c>
      <c r="F19" s="156">
        <v>92791.79</v>
      </c>
      <c r="G19" s="150">
        <f t="shared" si="0"/>
        <v>-8608.61</v>
      </c>
      <c r="H19" s="157">
        <f t="shared" si="3"/>
        <v>91.51028003834304</v>
      </c>
      <c r="I19" s="158">
        <f t="shared" si="4"/>
        <v>-17108.210000000006</v>
      </c>
      <c r="J19" s="158">
        <f t="shared" si="5"/>
        <v>84.43292993630573</v>
      </c>
      <c r="K19" s="169">
        <v>65538.97</v>
      </c>
      <c r="L19" s="161">
        <f t="shared" si="1"/>
        <v>27252.819999999992</v>
      </c>
      <c r="M19" s="216">
        <f t="shared" si="2"/>
        <v>1.4158261870761777</v>
      </c>
      <c r="N19" s="157">
        <f>E19-жовтень!E19</f>
        <v>10440</v>
      </c>
      <c r="O19" s="160">
        <f>F19-жовтень!F19</f>
        <v>9161.36</v>
      </c>
      <c r="P19" s="161">
        <f t="shared" si="6"/>
        <v>-1278.6399999999994</v>
      </c>
      <c r="Q19" s="158">
        <f aca="true" t="shared" si="9" ref="Q19:Q24">O19/N19*100</f>
        <v>87.75249042145595</v>
      </c>
      <c r="R19" s="107"/>
      <c r="S19" s="108"/>
      <c r="T19" s="147">
        <f t="shared" si="8"/>
        <v>8499.600000000006</v>
      </c>
      <c r="U19" s="6">
        <v>3348</v>
      </c>
    </row>
    <row r="20" spans="1:20" s="6" customFormat="1" ht="18">
      <c r="A20" s="8"/>
      <c r="B20" s="117" t="s">
        <v>74</v>
      </c>
      <c r="C20" s="43">
        <v>18000000</v>
      </c>
      <c r="D20" s="150">
        <f>D21+D30+D32+D29</f>
        <v>315976.65</v>
      </c>
      <c r="E20" s="150">
        <f>E21+E30+E32+E29</f>
        <v>300699.98</v>
      </c>
      <c r="F20" s="228">
        <f>F21+F29+F30+F31+F32</f>
        <v>317230.94999999995</v>
      </c>
      <c r="G20" s="150">
        <f t="shared" si="0"/>
        <v>16530.969999999972</v>
      </c>
      <c r="H20" s="157">
        <f t="shared" si="3"/>
        <v>105.49749620867948</v>
      </c>
      <c r="I20" s="158">
        <f t="shared" si="4"/>
        <v>1254.2999999999302</v>
      </c>
      <c r="J20" s="158">
        <f t="shared" si="5"/>
        <v>100.39695971205464</v>
      </c>
      <c r="K20" s="158">
        <v>207711.81</v>
      </c>
      <c r="L20" s="161">
        <f t="shared" si="1"/>
        <v>109519.13999999996</v>
      </c>
      <c r="M20" s="211">
        <f t="shared" si="2"/>
        <v>1.5272648676067093</v>
      </c>
      <c r="N20" s="157">
        <f>N21+N30+N31+N32</f>
        <v>25593.920000000013</v>
      </c>
      <c r="O20" s="160">
        <f>F20-жовтень!F20</f>
        <v>35018.19999999995</v>
      </c>
      <c r="P20" s="161">
        <f t="shared" si="6"/>
        <v>9424.27999999994</v>
      </c>
      <c r="Q20" s="158">
        <f t="shared" si="9"/>
        <v>136.82233905552545</v>
      </c>
      <c r="R20" s="107"/>
      <c r="S20" s="108"/>
      <c r="T20" s="147">
        <f t="shared" si="8"/>
        <v>15276.670000000042</v>
      </c>
    </row>
    <row r="21" spans="1:20" s="6" customFormat="1" ht="18">
      <c r="A21" s="8"/>
      <c r="B21" s="44" t="s">
        <v>82</v>
      </c>
      <c r="C21" s="114">
        <v>18010000</v>
      </c>
      <c r="D21" s="150">
        <f>D22+D25+D26</f>
        <v>174899.65</v>
      </c>
      <c r="E21" s="150">
        <f>E22+E25+E26</f>
        <v>162963.42</v>
      </c>
      <c r="F21" s="170">
        <f>F22+F25+F26</f>
        <v>167260.1</v>
      </c>
      <c r="G21" s="150">
        <f t="shared" si="0"/>
        <v>4296.679999999993</v>
      </c>
      <c r="H21" s="157">
        <f t="shared" si="3"/>
        <v>102.63659169646783</v>
      </c>
      <c r="I21" s="158">
        <f t="shared" si="4"/>
        <v>-7639.549999999988</v>
      </c>
      <c r="J21" s="158">
        <f t="shared" si="5"/>
        <v>95.63203814301517</v>
      </c>
      <c r="K21" s="158">
        <v>109750.31</v>
      </c>
      <c r="L21" s="161">
        <f t="shared" si="1"/>
        <v>57509.79000000001</v>
      </c>
      <c r="M21" s="211">
        <f t="shared" si="2"/>
        <v>1.5240057180704092</v>
      </c>
      <c r="N21" s="157">
        <f>N22+N25+N26</f>
        <v>13520.01000000001</v>
      </c>
      <c r="O21" s="160">
        <f>F21-жовтень!F21</f>
        <v>13603.779999999999</v>
      </c>
      <c r="P21" s="161">
        <f t="shared" si="6"/>
        <v>83.76999999998952</v>
      </c>
      <c r="Q21" s="158">
        <f t="shared" si="9"/>
        <v>100.61960013343179</v>
      </c>
      <c r="R21" s="107"/>
      <c r="S21" s="108"/>
      <c r="T21" s="147">
        <f t="shared" si="8"/>
        <v>11936.229999999981</v>
      </c>
    </row>
    <row r="22" spans="1:21" s="6" customFormat="1" ht="18">
      <c r="A22" s="8"/>
      <c r="B22" s="50" t="s">
        <v>75</v>
      </c>
      <c r="C22" s="123"/>
      <c r="D22" s="171">
        <v>18500</v>
      </c>
      <c r="E22" s="171">
        <v>17724.4</v>
      </c>
      <c r="F22" s="172">
        <v>20736.16</v>
      </c>
      <c r="G22" s="171">
        <f t="shared" si="0"/>
        <v>3011.7599999999984</v>
      </c>
      <c r="H22" s="173">
        <f t="shared" si="3"/>
        <v>116.9921689873846</v>
      </c>
      <c r="I22" s="174">
        <f t="shared" si="4"/>
        <v>2236.16</v>
      </c>
      <c r="J22" s="174">
        <f t="shared" si="5"/>
        <v>112.08735135135134</v>
      </c>
      <c r="K22" s="175">
        <v>12713.66</v>
      </c>
      <c r="L22" s="166">
        <f t="shared" si="1"/>
        <v>8022.5</v>
      </c>
      <c r="M22" s="219">
        <f t="shared" si="2"/>
        <v>1.6310142004741357</v>
      </c>
      <c r="N22" s="173">
        <f>E22-жовтень!E22</f>
        <v>400</v>
      </c>
      <c r="O22" s="176">
        <f>F22-жовтень!F22</f>
        <v>514.7700000000004</v>
      </c>
      <c r="P22" s="177">
        <f t="shared" si="6"/>
        <v>114.77000000000044</v>
      </c>
      <c r="Q22" s="174">
        <f t="shared" si="9"/>
        <v>128.6925000000001</v>
      </c>
      <c r="R22" s="107"/>
      <c r="S22" s="108"/>
      <c r="T22" s="147">
        <f t="shared" si="8"/>
        <v>775.5999999999985</v>
      </c>
      <c r="U22" s="147"/>
    </row>
    <row r="23" spans="1:21" s="6" customFormat="1" ht="18" hidden="1">
      <c r="A23" s="8"/>
      <c r="B23" s="196" t="s">
        <v>112</v>
      </c>
      <c r="C23" s="197"/>
      <c r="D23" s="200">
        <v>2000</v>
      </c>
      <c r="E23" s="200">
        <v>1424.4</v>
      </c>
      <c r="F23" s="163">
        <v>816.85</v>
      </c>
      <c r="G23" s="200">
        <f t="shared" si="0"/>
        <v>-607.5500000000001</v>
      </c>
      <c r="H23" s="201">
        <f t="shared" si="3"/>
        <v>57.34695310306094</v>
      </c>
      <c r="I23" s="202">
        <f t="shared" si="4"/>
        <v>-1183.15</v>
      </c>
      <c r="J23" s="202">
        <f t="shared" si="5"/>
        <v>40.8425</v>
      </c>
      <c r="K23" s="202">
        <v>683.67</v>
      </c>
      <c r="L23" s="202">
        <f t="shared" si="1"/>
        <v>133.18000000000006</v>
      </c>
      <c r="M23" s="233">
        <f t="shared" si="2"/>
        <v>1.194801585560285</v>
      </c>
      <c r="N23" s="201">
        <f>E23-жовтень!E23</f>
        <v>200</v>
      </c>
      <c r="O23" s="201">
        <f>F23-жовтень!F23</f>
        <v>21.31000000000006</v>
      </c>
      <c r="P23" s="202">
        <f t="shared" si="6"/>
        <v>-178.68999999999994</v>
      </c>
      <c r="Q23" s="202">
        <f t="shared" si="9"/>
        <v>10.65500000000003</v>
      </c>
      <c r="R23" s="107"/>
      <c r="S23" s="108"/>
      <c r="T23" s="147">
        <f t="shared" si="8"/>
        <v>575.5999999999999</v>
      </c>
      <c r="U23" s="147"/>
    </row>
    <row r="24" spans="1:21" s="6" customFormat="1" ht="18" hidden="1">
      <c r="A24" s="8"/>
      <c r="B24" s="196" t="s">
        <v>113</v>
      </c>
      <c r="C24" s="197"/>
      <c r="D24" s="200">
        <v>16500</v>
      </c>
      <c r="E24" s="200">
        <v>16300</v>
      </c>
      <c r="F24" s="163">
        <v>19919.31</v>
      </c>
      <c r="G24" s="200">
        <f t="shared" si="0"/>
        <v>3619.3100000000013</v>
      </c>
      <c r="H24" s="201">
        <f t="shared" si="3"/>
        <v>122.20435582822087</v>
      </c>
      <c r="I24" s="202">
        <f t="shared" si="4"/>
        <v>3419.3100000000013</v>
      </c>
      <c r="J24" s="202">
        <f t="shared" si="5"/>
        <v>120.72309090909093</v>
      </c>
      <c r="K24" s="202">
        <v>12029.99</v>
      </c>
      <c r="L24" s="202">
        <f t="shared" si="1"/>
        <v>7889.3200000000015</v>
      </c>
      <c r="M24" s="233">
        <f t="shared" si="2"/>
        <v>1.6558043689146875</v>
      </c>
      <c r="N24" s="201">
        <f>E24-жовтень!E24</f>
        <v>200</v>
      </c>
      <c r="O24" s="201">
        <f>F24-жовтень!F24</f>
        <v>493.46000000000276</v>
      </c>
      <c r="P24" s="202">
        <f t="shared" si="6"/>
        <v>293.46000000000276</v>
      </c>
      <c r="Q24" s="202">
        <f t="shared" si="9"/>
        <v>246.7300000000014</v>
      </c>
      <c r="R24" s="107"/>
      <c r="S24" s="108"/>
      <c r="T24" s="147">
        <f t="shared" si="8"/>
        <v>200</v>
      </c>
      <c r="U24" s="147"/>
    </row>
    <row r="25" spans="1:20" s="6" customFormat="1" ht="18">
      <c r="A25" s="8"/>
      <c r="B25" s="50" t="s">
        <v>76</v>
      </c>
      <c r="C25" s="123"/>
      <c r="D25" s="171">
        <v>1000</v>
      </c>
      <c r="E25" s="171">
        <v>980.04</v>
      </c>
      <c r="F25" s="172">
        <v>787.37</v>
      </c>
      <c r="G25" s="171">
        <f t="shared" si="0"/>
        <v>-192.66999999999996</v>
      </c>
      <c r="H25" s="173">
        <f t="shared" si="3"/>
        <v>80.34059834292478</v>
      </c>
      <c r="I25" s="174">
        <f t="shared" si="4"/>
        <v>-212.63</v>
      </c>
      <c r="J25" s="174">
        <f t="shared" si="5"/>
        <v>78.737</v>
      </c>
      <c r="K25" s="174">
        <v>3649.2</v>
      </c>
      <c r="L25" s="174">
        <f t="shared" si="1"/>
        <v>-2861.83</v>
      </c>
      <c r="M25" s="214">
        <f t="shared" si="2"/>
        <v>0.21576509919982464</v>
      </c>
      <c r="N25" s="173">
        <f>E25-жовтень!E25</f>
        <v>0</v>
      </c>
      <c r="O25" s="176">
        <f>F25-жовтень!F25</f>
        <v>-22.91999999999996</v>
      </c>
      <c r="P25" s="177">
        <f t="shared" si="6"/>
        <v>-22.91999999999996</v>
      </c>
      <c r="Q25" s="174"/>
      <c r="R25" s="107"/>
      <c r="S25" s="108"/>
      <c r="T25" s="147">
        <f t="shared" si="8"/>
        <v>19.960000000000036</v>
      </c>
    </row>
    <row r="26" spans="1:20" s="6" customFormat="1" ht="18">
      <c r="A26" s="8"/>
      <c r="B26" s="50" t="s">
        <v>77</v>
      </c>
      <c r="C26" s="123"/>
      <c r="D26" s="171">
        <v>155399.65</v>
      </c>
      <c r="E26" s="171">
        <v>144258.98</v>
      </c>
      <c r="F26" s="172">
        <v>145736.57</v>
      </c>
      <c r="G26" s="171">
        <f t="shared" si="0"/>
        <v>1477.5899999999965</v>
      </c>
      <c r="H26" s="173">
        <f t="shared" si="3"/>
        <v>101.02426205980383</v>
      </c>
      <c r="I26" s="174">
        <f t="shared" si="4"/>
        <v>-9663.079999999987</v>
      </c>
      <c r="J26" s="174">
        <f t="shared" si="5"/>
        <v>93.78178779681937</v>
      </c>
      <c r="K26" s="175">
        <v>93387.45</v>
      </c>
      <c r="L26" s="175">
        <f t="shared" si="1"/>
        <v>52349.12000000001</v>
      </c>
      <c r="M26" s="213">
        <f t="shared" si="2"/>
        <v>1.5605584047963619</v>
      </c>
      <c r="N26" s="173">
        <f>E26-жовтень!E26</f>
        <v>13120.01000000001</v>
      </c>
      <c r="O26" s="176">
        <f>F26-жовтень!F26</f>
        <v>13111.929999999993</v>
      </c>
      <c r="P26" s="177">
        <f t="shared" si="6"/>
        <v>-8.080000000016298</v>
      </c>
      <c r="Q26" s="174">
        <f>O26/N26*100</f>
        <v>99.93841468108626</v>
      </c>
      <c r="R26" s="107"/>
      <c r="S26" s="108"/>
      <c r="T26" s="147">
        <f t="shared" si="8"/>
        <v>11140.669999999984</v>
      </c>
    </row>
    <row r="27" spans="1:20" s="6" customFormat="1" ht="18">
      <c r="A27" s="8"/>
      <c r="B27" s="196" t="s">
        <v>114</v>
      </c>
      <c r="C27" s="197"/>
      <c r="D27" s="200">
        <v>47367</v>
      </c>
      <c r="E27" s="200">
        <v>44411.8</v>
      </c>
      <c r="F27" s="163">
        <v>46002.62</v>
      </c>
      <c r="G27" s="200">
        <f t="shared" si="0"/>
        <v>1590.8199999999997</v>
      </c>
      <c r="H27" s="201">
        <f t="shared" si="3"/>
        <v>103.5819759613436</v>
      </c>
      <c r="I27" s="202">
        <f t="shared" si="4"/>
        <v>-1364.3799999999974</v>
      </c>
      <c r="J27" s="202">
        <f t="shared" si="5"/>
        <v>97.1195558088965</v>
      </c>
      <c r="K27" s="202">
        <v>25267.13</v>
      </c>
      <c r="L27" s="202">
        <f t="shared" si="1"/>
        <v>20735.49</v>
      </c>
      <c r="M27" s="233">
        <f t="shared" si="2"/>
        <v>1.8206507822613807</v>
      </c>
      <c r="N27" s="201">
        <f>E27-жовтень!E27</f>
        <v>4010</v>
      </c>
      <c r="O27" s="201">
        <f>F27-жовтень!F27</f>
        <v>3996.340000000004</v>
      </c>
      <c r="P27" s="202">
        <f t="shared" si="6"/>
        <v>-13.659999999996217</v>
      </c>
      <c r="Q27" s="202">
        <f>O27/N27*100</f>
        <v>99.65935162094772</v>
      </c>
      <c r="R27" s="107"/>
      <c r="S27" s="108"/>
      <c r="T27" s="147">
        <f t="shared" si="8"/>
        <v>2955.199999999997</v>
      </c>
    </row>
    <row r="28" spans="1:20" s="6" customFormat="1" ht="18">
      <c r="A28" s="8"/>
      <c r="B28" s="196" t="s">
        <v>115</v>
      </c>
      <c r="C28" s="197"/>
      <c r="D28" s="200">
        <v>108032.65</v>
      </c>
      <c r="E28" s="200">
        <v>99847.17</v>
      </c>
      <c r="F28" s="163">
        <v>99733.95</v>
      </c>
      <c r="G28" s="200">
        <f t="shared" si="0"/>
        <v>-113.22000000000116</v>
      </c>
      <c r="H28" s="201">
        <f t="shared" si="3"/>
        <v>99.88660670102118</v>
      </c>
      <c r="I28" s="202">
        <f t="shared" si="4"/>
        <v>-8298.699999999997</v>
      </c>
      <c r="J28" s="202">
        <f t="shared" si="5"/>
        <v>92.31834079789768</v>
      </c>
      <c r="K28" s="202">
        <v>68120.32</v>
      </c>
      <c r="L28" s="202">
        <f t="shared" si="1"/>
        <v>31613.62999999999</v>
      </c>
      <c r="M28" s="233">
        <f t="shared" si="2"/>
        <v>1.4640851657772598</v>
      </c>
      <c r="N28" s="201">
        <f>E28-жовтень!E28</f>
        <v>9110</v>
      </c>
      <c r="O28" s="201">
        <f>F28-жовтень!F28</f>
        <v>9115.589999999997</v>
      </c>
      <c r="P28" s="202">
        <f t="shared" si="6"/>
        <v>5.5899999999965075</v>
      </c>
      <c r="Q28" s="202">
        <f>O28/N28*100</f>
        <v>100.0613611416026</v>
      </c>
      <c r="R28" s="107"/>
      <c r="S28" s="108"/>
      <c r="T28" s="147">
        <f t="shared" si="8"/>
        <v>8185.479999999996</v>
      </c>
    </row>
    <row r="29" spans="1:20" s="6" customFormat="1" ht="18">
      <c r="A29" s="8"/>
      <c r="B29" s="44" t="s">
        <v>125</v>
      </c>
      <c r="C29" s="227">
        <v>18020000</v>
      </c>
      <c r="D29" s="162">
        <v>0</v>
      </c>
      <c r="E29" s="162">
        <v>0</v>
      </c>
      <c r="F29" s="201">
        <v>0.15</v>
      </c>
      <c r="G29" s="150">
        <f t="shared" si="0"/>
        <v>0.15</v>
      </c>
      <c r="H29" s="157"/>
      <c r="I29" s="158">
        <f t="shared" si="4"/>
        <v>0.15</v>
      </c>
      <c r="J29" s="158"/>
      <c r="K29" s="167">
        <v>0</v>
      </c>
      <c r="L29" s="158">
        <f t="shared" si="1"/>
        <v>0.15</v>
      </c>
      <c r="M29" s="212"/>
      <c r="N29" s="157">
        <f>E29-жовтень!E29</f>
        <v>0</v>
      </c>
      <c r="O29" s="160">
        <f>F29-жовтень!F29</f>
        <v>0</v>
      </c>
      <c r="P29" s="161">
        <f t="shared" si="6"/>
        <v>0</v>
      </c>
      <c r="Q29" s="158"/>
      <c r="R29" s="107"/>
      <c r="S29" s="108"/>
      <c r="T29" s="147">
        <f t="shared" si="8"/>
        <v>0</v>
      </c>
    </row>
    <row r="30" spans="1:20" s="6" customFormat="1" ht="18">
      <c r="A30" s="8"/>
      <c r="B30" s="44" t="s">
        <v>83</v>
      </c>
      <c r="C30" s="114">
        <v>18030000</v>
      </c>
      <c r="D30" s="150">
        <v>77</v>
      </c>
      <c r="E30" s="150">
        <v>70.81</v>
      </c>
      <c r="F30" s="156">
        <v>114.68</v>
      </c>
      <c r="G30" s="150">
        <f t="shared" si="0"/>
        <v>43.870000000000005</v>
      </c>
      <c r="H30" s="157">
        <f t="shared" si="3"/>
        <v>161.95452619686486</v>
      </c>
      <c r="I30" s="158">
        <f t="shared" si="4"/>
        <v>37.68000000000001</v>
      </c>
      <c r="J30" s="158">
        <f t="shared" si="5"/>
        <v>148.93506493506493</v>
      </c>
      <c r="K30" s="158">
        <v>74.09</v>
      </c>
      <c r="L30" s="158">
        <f t="shared" si="1"/>
        <v>40.59</v>
      </c>
      <c r="M30" s="212">
        <f>F30/K30</f>
        <v>1.5478472128492375</v>
      </c>
      <c r="N30" s="157">
        <f>E30-жовтень!E30</f>
        <v>8</v>
      </c>
      <c r="O30" s="160">
        <f>F30-жовтень!F30</f>
        <v>18.5</v>
      </c>
      <c r="P30" s="161">
        <f t="shared" si="6"/>
        <v>10.5</v>
      </c>
      <c r="Q30" s="158">
        <f>O30/N30*100</f>
        <v>231.25</v>
      </c>
      <c r="R30" s="107"/>
      <c r="S30" s="108"/>
      <c r="T30" s="147">
        <f t="shared" si="8"/>
        <v>6.189999999999998</v>
      </c>
    </row>
    <row r="31" spans="1:20" s="6" customFormat="1" ht="49.5" customHeight="1">
      <c r="A31" s="8"/>
      <c r="B31" s="44" t="s">
        <v>84</v>
      </c>
      <c r="C31" s="114">
        <v>18040000</v>
      </c>
      <c r="D31" s="150"/>
      <c r="E31" s="150"/>
      <c r="F31" s="156">
        <v>-173.97</v>
      </c>
      <c r="G31" s="150">
        <f t="shared" si="0"/>
        <v>-173.97</v>
      </c>
      <c r="H31" s="157"/>
      <c r="I31" s="158">
        <f t="shared" si="4"/>
        <v>-173.97</v>
      </c>
      <c r="J31" s="158"/>
      <c r="K31" s="158">
        <v>-772.87</v>
      </c>
      <c r="L31" s="158">
        <f t="shared" si="1"/>
        <v>598.9</v>
      </c>
      <c r="M31" s="212">
        <f>F31/K31</f>
        <v>0.2250960704905094</v>
      </c>
      <c r="N31" s="157">
        <f>E31-жовтень!E31</f>
        <v>0</v>
      </c>
      <c r="O31" s="160">
        <f>F31-жовтень!F31</f>
        <v>-0.9000000000000057</v>
      </c>
      <c r="P31" s="161">
        <f t="shared" si="6"/>
        <v>-0.9000000000000057</v>
      </c>
      <c r="Q31" s="158"/>
      <c r="R31" s="107"/>
      <c r="S31" s="108"/>
      <c r="T31" s="147">
        <f t="shared" si="8"/>
        <v>0</v>
      </c>
    </row>
    <row r="32" spans="1:20" s="6" customFormat="1" ht="18">
      <c r="A32" s="8"/>
      <c r="B32" s="44" t="s">
        <v>85</v>
      </c>
      <c r="C32" s="114">
        <v>18050000</v>
      </c>
      <c r="D32" s="162">
        <f>118000+23000</f>
        <v>141000</v>
      </c>
      <c r="E32" s="162">
        <v>137665.75</v>
      </c>
      <c r="F32" s="163">
        <v>150029.99</v>
      </c>
      <c r="G32" s="162">
        <f t="shared" si="0"/>
        <v>12364.23999999999</v>
      </c>
      <c r="H32" s="164">
        <f t="shared" si="3"/>
        <v>108.98134793875744</v>
      </c>
      <c r="I32" s="165">
        <f t="shared" si="4"/>
        <v>9029.98999999999</v>
      </c>
      <c r="J32" s="165">
        <f t="shared" si="5"/>
        <v>106.40424822695034</v>
      </c>
      <c r="K32" s="178">
        <v>98660.28</v>
      </c>
      <c r="L32" s="178">
        <f>F32-K32</f>
        <v>51369.70999999999</v>
      </c>
      <c r="M32" s="231">
        <f>F32/K32</f>
        <v>1.520672655702984</v>
      </c>
      <c r="N32" s="157">
        <f>E32-жовтень!E32</f>
        <v>12065.910000000003</v>
      </c>
      <c r="O32" s="160">
        <f>F32-жовтень!F32</f>
        <v>21396.819999999992</v>
      </c>
      <c r="P32" s="167">
        <f t="shared" si="6"/>
        <v>9330.909999999989</v>
      </c>
      <c r="Q32" s="165">
        <f>O32/N32*100</f>
        <v>177.33283274945683</v>
      </c>
      <c r="R32" s="107"/>
      <c r="S32" s="108"/>
      <c r="T32" s="147">
        <f t="shared" si="8"/>
        <v>3334.25</v>
      </c>
    </row>
    <row r="33" spans="1:20" s="6" customFormat="1" ht="15" hidden="1">
      <c r="A33" s="8"/>
      <c r="B33" s="50" t="s">
        <v>92</v>
      </c>
      <c r="C33" s="102">
        <v>18050200</v>
      </c>
      <c r="D33" s="103">
        <v>0</v>
      </c>
      <c r="E33" s="103">
        <v>0</v>
      </c>
      <c r="F33" s="140">
        <v>0.23</v>
      </c>
      <c r="G33" s="103">
        <f t="shared" si="0"/>
        <v>0.23</v>
      </c>
      <c r="H33" s="105"/>
      <c r="I33" s="104">
        <f t="shared" si="4"/>
        <v>0.23</v>
      </c>
      <c r="J33" s="104"/>
      <c r="K33" s="127">
        <v>-1.15</v>
      </c>
      <c r="L33" s="127">
        <f t="shared" si="1"/>
        <v>1.38</v>
      </c>
      <c r="M33" s="221">
        <f aca="true" t="shared" si="10" ref="M33:M39">F33/K33</f>
        <v>-0.2</v>
      </c>
      <c r="N33" s="105">
        <f>E33-жовтень!E33</f>
        <v>0</v>
      </c>
      <c r="O33" s="144">
        <f>F33-жовтень!F33</f>
        <v>0</v>
      </c>
      <c r="P33" s="106">
        <f t="shared" si="6"/>
        <v>0</v>
      </c>
      <c r="Q33" s="104"/>
      <c r="R33" s="107"/>
      <c r="S33" s="108"/>
      <c r="T33" s="147">
        <f t="shared" si="8"/>
        <v>0</v>
      </c>
    </row>
    <row r="34" spans="1:20" s="6" customFormat="1" ht="15" hidden="1">
      <c r="A34" s="8"/>
      <c r="B34" s="50" t="s">
        <v>93</v>
      </c>
      <c r="C34" s="102">
        <v>18050300</v>
      </c>
      <c r="D34" s="103">
        <f>28217+6000</f>
        <v>34217</v>
      </c>
      <c r="E34" s="103">
        <v>33262.97</v>
      </c>
      <c r="F34" s="140">
        <v>37146.19</v>
      </c>
      <c r="G34" s="103">
        <f t="shared" si="0"/>
        <v>3883.220000000001</v>
      </c>
      <c r="H34" s="105">
        <f t="shared" si="3"/>
        <v>111.67430328680811</v>
      </c>
      <c r="I34" s="104">
        <f t="shared" si="4"/>
        <v>2929.1900000000023</v>
      </c>
      <c r="J34" s="104">
        <f t="shared" si="5"/>
        <v>108.56062775813193</v>
      </c>
      <c r="K34" s="127">
        <v>23706.55</v>
      </c>
      <c r="L34" s="127">
        <f t="shared" si="1"/>
        <v>13439.640000000003</v>
      </c>
      <c r="M34" s="221">
        <f t="shared" si="10"/>
        <v>1.5669167382010458</v>
      </c>
      <c r="N34" s="105">
        <f>E34-жовтень!E34</f>
        <v>2600</v>
      </c>
      <c r="O34" s="144">
        <f>F34-жовтень!F34</f>
        <v>5570.1500000000015</v>
      </c>
      <c r="P34" s="106">
        <f t="shared" si="6"/>
        <v>2970.1500000000015</v>
      </c>
      <c r="Q34" s="104">
        <f>O34/N34*100</f>
        <v>214.23653846153852</v>
      </c>
      <c r="R34" s="107"/>
      <c r="S34" s="108"/>
      <c r="T34" s="147">
        <f t="shared" si="8"/>
        <v>954.0299999999988</v>
      </c>
    </row>
    <row r="35" spans="1:20" s="6" customFormat="1" ht="15" hidden="1">
      <c r="A35" s="8"/>
      <c r="B35" s="50" t="s">
        <v>94</v>
      </c>
      <c r="C35" s="102">
        <v>18050400</v>
      </c>
      <c r="D35" s="103">
        <f>89732+17000</f>
        <v>106732</v>
      </c>
      <c r="E35" s="103">
        <v>104351.78</v>
      </c>
      <c r="F35" s="140">
        <v>112830.49</v>
      </c>
      <c r="G35" s="103">
        <f t="shared" si="0"/>
        <v>8478.710000000006</v>
      </c>
      <c r="H35" s="105">
        <f t="shared" si="3"/>
        <v>108.12512254223168</v>
      </c>
      <c r="I35" s="104">
        <f t="shared" si="4"/>
        <v>6098.490000000005</v>
      </c>
      <c r="J35" s="104">
        <f t="shared" si="5"/>
        <v>105.7138346512761</v>
      </c>
      <c r="K35" s="127">
        <v>74922.37</v>
      </c>
      <c r="L35" s="127">
        <f t="shared" si="1"/>
        <v>37908.12000000001</v>
      </c>
      <c r="M35" s="221">
        <f t="shared" si="10"/>
        <v>1.5059653078246191</v>
      </c>
      <c r="N35" s="105">
        <f>E35-жовтень!E35</f>
        <v>9431.699999999997</v>
      </c>
      <c r="O35" s="144">
        <f>F35-жовтень!F35</f>
        <v>15826.669999999998</v>
      </c>
      <c r="P35" s="106">
        <f t="shared" si="6"/>
        <v>6394.970000000001</v>
      </c>
      <c r="Q35" s="104">
        <f>O35/N35*100</f>
        <v>167.80294114528667</v>
      </c>
      <c r="R35" s="107"/>
      <c r="S35" s="108"/>
      <c r="T35" s="147">
        <f t="shared" si="8"/>
        <v>2380.220000000001</v>
      </c>
    </row>
    <row r="36" spans="1:20" s="6" customFormat="1" ht="15" hidden="1">
      <c r="A36" s="8"/>
      <c r="B36" s="50" t="s">
        <v>95</v>
      </c>
      <c r="C36" s="102">
        <v>18050500</v>
      </c>
      <c r="D36" s="103">
        <v>51</v>
      </c>
      <c r="E36" s="103">
        <v>51</v>
      </c>
      <c r="F36" s="140">
        <v>53.08</v>
      </c>
      <c r="G36" s="103">
        <f t="shared" si="0"/>
        <v>2.0799999999999983</v>
      </c>
      <c r="H36" s="105">
        <f t="shared" si="3"/>
        <v>104.07843137254902</v>
      </c>
      <c r="I36" s="104">
        <f t="shared" si="4"/>
        <v>2.0799999999999983</v>
      </c>
      <c r="J36" s="104">
        <f t="shared" si="5"/>
        <v>104.07843137254902</v>
      </c>
      <c r="K36" s="127">
        <v>32.51</v>
      </c>
      <c r="L36" s="127">
        <f t="shared" si="1"/>
        <v>20.57</v>
      </c>
      <c r="M36" s="221">
        <f t="shared" si="10"/>
        <v>1.6327283912642265</v>
      </c>
      <c r="N36" s="105">
        <f>E36-жовтень!E36</f>
        <v>34.21</v>
      </c>
      <c r="O36" s="144">
        <f>F36-жовтень!F36</f>
        <v>0</v>
      </c>
      <c r="P36" s="106">
        <f t="shared" si="6"/>
        <v>-34.21</v>
      </c>
      <c r="Q36" s="104"/>
      <c r="R36" s="107"/>
      <c r="S36" s="108"/>
      <c r="T36" s="147">
        <f t="shared" si="8"/>
        <v>0</v>
      </c>
    </row>
    <row r="37" spans="1:20" s="6" customFormat="1" ht="15" customHeight="1" hidden="1">
      <c r="A37" s="8"/>
      <c r="B37" s="44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 t="shared" si="0"/>
        <v>0</v>
      </c>
      <c r="H37" s="30"/>
      <c r="I37" s="37">
        <f t="shared" si="4"/>
        <v>0</v>
      </c>
      <c r="J37" s="37"/>
      <c r="K37" s="119">
        <v>6764.35</v>
      </c>
      <c r="L37" s="119">
        <f t="shared" si="1"/>
        <v>-6764.35</v>
      </c>
      <c r="M37" s="222">
        <f t="shared" si="10"/>
        <v>0</v>
      </c>
      <c r="N37" s="137">
        <f>E37-жовтень!E37</f>
        <v>0</v>
      </c>
      <c r="O37" s="145">
        <f>F37-жовтень!F37</f>
        <v>0</v>
      </c>
      <c r="P37" s="36">
        <f t="shared" si="6"/>
        <v>0</v>
      </c>
      <c r="Q37" s="37"/>
      <c r="R37" s="107"/>
      <c r="S37" s="108"/>
      <c r="T37" s="147">
        <f t="shared" si="8"/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61842.48</v>
      </c>
      <c r="E38" s="151">
        <f>E39+E40+E41+E42+E43+E45+E47+E48+E49+E50+E51+E56+E57+E61+E44</f>
        <v>59184.03</v>
      </c>
      <c r="F38" s="151">
        <f>F39+F40+F41+F42+F43+F45+F47+F48+F49+F50+F51+F56+F57+F61+F44</f>
        <v>61087.94</v>
      </c>
      <c r="G38" s="151">
        <f>G39+G40+G41+G42+G43+G45+G47+G48+G49+G50+G51+G56+G57+G61</f>
        <v>1832.5400000000006</v>
      </c>
      <c r="H38" s="152">
        <f>F38/E38*100</f>
        <v>103.21693200006827</v>
      </c>
      <c r="I38" s="153">
        <f>F38-D38</f>
        <v>-754.5400000000009</v>
      </c>
      <c r="J38" s="153">
        <f>F38/D38*100</f>
        <v>98.77990015924328</v>
      </c>
      <c r="K38" s="151">
        <v>41741.88</v>
      </c>
      <c r="L38" s="151">
        <f t="shared" si="1"/>
        <v>19346.060000000005</v>
      </c>
      <c r="M38" s="207">
        <f t="shared" si="10"/>
        <v>1.4634688231579414</v>
      </c>
      <c r="N38" s="151">
        <f>N39+N40+N41+N42+N43+N45+N47+N48+N49+N50+N51+N56+N57+N61+N44</f>
        <v>3889</v>
      </c>
      <c r="O38" s="151">
        <f>O39+O40+O41+O42+O43+O45+O47+O48+O49+O50+O51+O56+O57+O61+O44</f>
        <v>6070.210000000002</v>
      </c>
      <c r="P38" s="151">
        <f>P39+P40+P41+P42+P43+P45+P47+P48+P49+P50+P51+P56+P57+P61</f>
        <v>2143.790000000002</v>
      </c>
      <c r="Q38" s="151">
        <f>O38/N38*100</f>
        <v>156.08665466700958</v>
      </c>
      <c r="R38" s="15" t="e">
        <f>#N/A</f>
        <v>#N/A</v>
      </c>
      <c r="S38" s="15" t="e">
        <f>#N/A</f>
        <v>#N/A</v>
      </c>
      <c r="T38" s="147">
        <f t="shared" si="8"/>
        <v>2658.4500000000044</v>
      </c>
    </row>
    <row r="39" spans="1:20" s="6" customFormat="1" ht="46.5">
      <c r="A39" s="8"/>
      <c r="B39" s="44" t="s">
        <v>100</v>
      </c>
      <c r="C39" s="43">
        <v>21010301</v>
      </c>
      <c r="D39" s="150">
        <v>400</v>
      </c>
      <c r="E39" s="150">
        <v>398</v>
      </c>
      <c r="F39" s="156">
        <v>551.21</v>
      </c>
      <c r="G39" s="162">
        <f>F39-E39</f>
        <v>153.21000000000004</v>
      </c>
      <c r="H39" s="164">
        <f aca="true" t="shared" si="11" ref="H39:H62">F39/E39*100</f>
        <v>138.49497487437188</v>
      </c>
      <c r="I39" s="165">
        <f>F39-D39</f>
        <v>151.21000000000004</v>
      </c>
      <c r="J39" s="165">
        <f>F39/D39*100</f>
        <v>137.8025</v>
      </c>
      <c r="K39" s="165">
        <v>0.21</v>
      </c>
      <c r="L39" s="165">
        <f t="shared" si="1"/>
        <v>551</v>
      </c>
      <c r="M39" s="223">
        <f t="shared" si="10"/>
        <v>2624.809523809524</v>
      </c>
      <c r="N39" s="164">
        <f>E39-жовтень!E39</f>
        <v>12</v>
      </c>
      <c r="O39" s="168">
        <f>F39-жовтень!F39</f>
        <v>66.38000000000005</v>
      </c>
      <c r="P39" s="167">
        <f>O39-N39</f>
        <v>54.38000000000005</v>
      </c>
      <c r="Q39" s="165">
        <f aca="true" t="shared" si="12" ref="Q39:Q62">O39/N39*100</f>
        <v>553.1666666666671</v>
      </c>
      <c r="R39" s="37"/>
      <c r="S39" s="94"/>
      <c r="T39" s="147">
        <f t="shared" si="8"/>
        <v>2</v>
      </c>
    </row>
    <row r="40" spans="1:20" s="6" customFormat="1" ht="30.75">
      <c r="A40" s="8"/>
      <c r="B40" s="129" t="s">
        <v>78</v>
      </c>
      <c r="C40" s="42">
        <v>21050000</v>
      </c>
      <c r="D40" s="150">
        <f>25000+5007</f>
        <v>30007</v>
      </c>
      <c r="E40" s="150">
        <v>29466</v>
      </c>
      <c r="F40" s="156">
        <v>31079.13</v>
      </c>
      <c r="G40" s="162">
        <f aca="true" t="shared" si="13" ref="G40:G63">F40-E40</f>
        <v>1613.130000000001</v>
      </c>
      <c r="H40" s="164">
        <f t="shared" si="11"/>
        <v>105.47454693545104</v>
      </c>
      <c r="I40" s="165">
        <f aca="true" t="shared" si="14" ref="I40:I63">F40-D40</f>
        <v>1072.130000000001</v>
      </c>
      <c r="J40" s="165">
        <f>F40/D40*100</f>
        <v>103.57293298230412</v>
      </c>
      <c r="K40" s="165">
        <v>12874.31</v>
      </c>
      <c r="L40" s="165">
        <f t="shared" si="1"/>
        <v>18204.82</v>
      </c>
      <c r="M40" s="223"/>
      <c r="N40" s="164">
        <f>E40-жовтень!E40</f>
        <v>1700</v>
      </c>
      <c r="O40" s="168">
        <f>F40-жовтень!F40</f>
        <v>3409.010000000002</v>
      </c>
      <c r="P40" s="167">
        <f aca="true" t="shared" si="15" ref="P40:P63">O40-N40</f>
        <v>1709.010000000002</v>
      </c>
      <c r="Q40" s="165">
        <f t="shared" si="12"/>
        <v>200.53000000000014</v>
      </c>
      <c r="R40" s="37"/>
      <c r="S40" s="94"/>
      <c r="T40" s="147">
        <f t="shared" si="8"/>
        <v>541</v>
      </c>
    </row>
    <row r="41" spans="1:20" s="6" customFormat="1" ht="18">
      <c r="A41" s="8"/>
      <c r="B41" s="129" t="s">
        <v>61</v>
      </c>
      <c r="C41" s="42">
        <v>21080500</v>
      </c>
      <c r="D41" s="150">
        <v>111.44</v>
      </c>
      <c r="E41" s="150">
        <v>111.44</v>
      </c>
      <c r="F41" s="156">
        <v>31.98</v>
      </c>
      <c r="G41" s="162">
        <f t="shared" si="13"/>
        <v>-79.46</v>
      </c>
      <c r="H41" s="164">
        <f t="shared" si="11"/>
        <v>28.697056712132092</v>
      </c>
      <c r="I41" s="165">
        <f t="shared" si="14"/>
        <v>-79.46</v>
      </c>
      <c r="J41" s="165">
        <f aca="true" t="shared" si="16" ref="J41:J62">F41/D41*100</f>
        <v>28.697056712132092</v>
      </c>
      <c r="K41" s="165">
        <v>379.93</v>
      </c>
      <c r="L41" s="165">
        <f t="shared" si="1"/>
        <v>-347.95</v>
      </c>
      <c r="M41" s="223">
        <f aca="true" t="shared" si="17" ref="M41:M63">F41/K41</f>
        <v>0.0841734003632248</v>
      </c>
      <c r="N41" s="164">
        <f>E41-жовтень!E41</f>
        <v>0</v>
      </c>
      <c r="O41" s="168">
        <f>F41-жовтень!F41</f>
        <v>0</v>
      </c>
      <c r="P41" s="167">
        <f t="shared" si="15"/>
        <v>0</v>
      </c>
      <c r="Q41" s="165"/>
      <c r="R41" s="37"/>
      <c r="S41" s="94"/>
      <c r="T41" s="147">
        <f t="shared" si="8"/>
        <v>0</v>
      </c>
    </row>
    <row r="42" spans="1:20" s="6" customFormat="1" ht="31.5">
      <c r="A42" s="8"/>
      <c r="B42" s="26" t="s">
        <v>39</v>
      </c>
      <c r="C42" s="71">
        <v>21080900</v>
      </c>
      <c r="D42" s="150">
        <f>6.5-6.5</f>
        <v>0</v>
      </c>
      <c r="E42" s="150">
        <v>0</v>
      </c>
      <c r="F42" s="156">
        <v>0.1</v>
      </c>
      <c r="G42" s="162">
        <f t="shared" si="13"/>
        <v>0.1</v>
      </c>
      <c r="H42" s="164"/>
      <c r="I42" s="165">
        <f t="shared" si="14"/>
        <v>0.1</v>
      </c>
      <c r="J42" s="165"/>
      <c r="K42" s="165">
        <v>1.02</v>
      </c>
      <c r="L42" s="165">
        <f t="shared" si="1"/>
        <v>-0.92</v>
      </c>
      <c r="M42" s="223">
        <f t="shared" si="17"/>
        <v>0.09803921568627451</v>
      </c>
      <c r="N42" s="164">
        <f>E42-жовтень!E42</f>
        <v>0</v>
      </c>
      <c r="O42" s="168">
        <f>F42-жовтень!F42</f>
        <v>0</v>
      </c>
      <c r="P42" s="167">
        <f t="shared" si="15"/>
        <v>0</v>
      </c>
      <c r="Q42" s="165"/>
      <c r="R42" s="37"/>
      <c r="S42" s="94"/>
      <c r="T42" s="147">
        <f t="shared" si="8"/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150</v>
      </c>
      <c r="E43" s="150">
        <v>110</v>
      </c>
      <c r="F43" s="156">
        <v>225.51</v>
      </c>
      <c r="G43" s="162">
        <f t="shared" si="13"/>
        <v>115.50999999999999</v>
      </c>
      <c r="H43" s="164">
        <f t="shared" si="11"/>
        <v>205.00909090909093</v>
      </c>
      <c r="I43" s="165">
        <f t="shared" si="14"/>
        <v>75.50999999999999</v>
      </c>
      <c r="J43" s="165">
        <f t="shared" si="16"/>
        <v>150.33999999999997</v>
      </c>
      <c r="K43" s="165">
        <v>267.84</v>
      </c>
      <c r="L43" s="165">
        <f t="shared" si="1"/>
        <v>-42.329999999999984</v>
      </c>
      <c r="M43" s="223">
        <f t="shared" si="17"/>
        <v>0.8419578853046595</v>
      </c>
      <c r="N43" s="164">
        <f>E43-жовтень!E43</f>
        <v>10</v>
      </c>
      <c r="O43" s="168">
        <f>F43-жовтень!F43</f>
        <v>17.829999999999984</v>
      </c>
      <c r="P43" s="167">
        <f t="shared" si="15"/>
        <v>7.829999999999984</v>
      </c>
      <c r="Q43" s="165">
        <f t="shared" si="12"/>
        <v>178.29999999999984</v>
      </c>
      <c r="R43" s="37"/>
      <c r="S43" s="94"/>
      <c r="T43" s="147">
        <f t="shared" si="8"/>
        <v>40</v>
      </c>
    </row>
    <row r="44" spans="1:20" s="6" customFormat="1" ht="46.5">
      <c r="A44" s="8"/>
      <c r="B44" s="130" t="s">
        <v>81</v>
      </c>
      <c r="C44" s="72">
        <v>21081500</v>
      </c>
      <c r="D44" s="150">
        <v>14</v>
      </c>
      <c r="E44" s="150">
        <v>14</v>
      </c>
      <c r="F44" s="156">
        <v>85.37</v>
      </c>
      <c r="G44" s="162">
        <f t="shared" si="13"/>
        <v>71.37</v>
      </c>
      <c r="H44" s="164"/>
      <c r="I44" s="165">
        <f t="shared" si="14"/>
        <v>71.37</v>
      </c>
      <c r="J44" s="165"/>
      <c r="K44" s="165">
        <v>0</v>
      </c>
      <c r="L44" s="165">
        <f t="shared" si="1"/>
        <v>85.37</v>
      </c>
      <c r="M44" s="223"/>
      <c r="N44" s="164">
        <f>E44-жовтень!E44</f>
        <v>0</v>
      </c>
      <c r="O44" s="168">
        <f>F44-жовтень!F44</f>
        <v>37.42</v>
      </c>
      <c r="P44" s="167"/>
      <c r="Q44" s="165"/>
      <c r="R44" s="37"/>
      <c r="S44" s="94"/>
      <c r="T44" s="147">
        <f t="shared" si="8"/>
        <v>0</v>
      </c>
    </row>
    <row r="45" spans="1:20" s="6" customFormat="1" ht="30.75">
      <c r="A45" s="8"/>
      <c r="B45" s="148" t="s">
        <v>108</v>
      </c>
      <c r="C45" s="49">
        <v>22010300</v>
      </c>
      <c r="D45" s="150">
        <v>300</v>
      </c>
      <c r="E45" s="150">
        <v>290</v>
      </c>
      <c r="F45" s="156">
        <v>629.78</v>
      </c>
      <c r="G45" s="162">
        <f t="shared" si="13"/>
        <v>339.78</v>
      </c>
      <c r="H45" s="164">
        <f t="shared" si="11"/>
        <v>217.1655172413793</v>
      </c>
      <c r="I45" s="165">
        <f t="shared" si="14"/>
        <v>329.78</v>
      </c>
      <c r="J45" s="165">
        <f t="shared" si="16"/>
        <v>209.92666666666665</v>
      </c>
      <c r="K45" s="165">
        <v>0</v>
      </c>
      <c r="L45" s="165">
        <f t="shared" si="1"/>
        <v>629.78</v>
      </c>
      <c r="M45" s="223"/>
      <c r="N45" s="164">
        <f>E45-жовтень!E45</f>
        <v>18</v>
      </c>
      <c r="O45" s="168">
        <f>F45-жовтень!F45</f>
        <v>98.75999999999999</v>
      </c>
      <c r="P45" s="167">
        <f t="shared" si="15"/>
        <v>80.75999999999999</v>
      </c>
      <c r="Q45" s="165">
        <f t="shared" si="12"/>
        <v>548.6666666666666</v>
      </c>
      <c r="R45" s="37"/>
      <c r="S45" s="94"/>
      <c r="T45" s="147">
        <f t="shared" si="8"/>
        <v>10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 t="shared" si="1"/>
        <v>0</v>
      </c>
      <c r="M46" s="223" t="e">
        <f t="shared" si="17"/>
        <v>#DIV/0!</v>
      </c>
      <c r="N46" s="164">
        <f>E46-жовтень!E46</f>
        <v>0</v>
      </c>
      <c r="O46" s="168">
        <f>F46-жовтень!F46</f>
        <v>0</v>
      </c>
      <c r="P46" s="167"/>
      <c r="Q46" s="165"/>
      <c r="R46" s="37"/>
      <c r="S46" s="94"/>
      <c r="T46" s="147">
        <f t="shared" si="8"/>
        <v>0</v>
      </c>
    </row>
    <row r="47" spans="1:20" s="6" customFormat="1" ht="18">
      <c r="A47" s="8"/>
      <c r="B47" s="33" t="s">
        <v>79</v>
      </c>
      <c r="C47" s="72">
        <v>22012500</v>
      </c>
      <c r="D47" s="150">
        <v>9900</v>
      </c>
      <c r="E47" s="150">
        <v>9549.02</v>
      </c>
      <c r="F47" s="156">
        <v>10239.21</v>
      </c>
      <c r="G47" s="162">
        <f t="shared" si="13"/>
        <v>690.1899999999987</v>
      </c>
      <c r="H47" s="164">
        <f t="shared" si="11"/>
        <v>107.22786212616582</v>
      </c>
      <c r="I47" s="165">
        <f t="shared" si="14"/>
        <v>339.2099999999991</v>
      </c>
      <c r="J47" s="165">
        <f t="shared" si="16"/>
        <v>103.42636363636363</v>
      </c>
      <c r="K47" s="165">
        <v>8884.54</v>
      </c>
      <c r="L47" s="165">
        <f t="shared" si="1"/>
        <v>1354.6699999999983</v>
      </c>
      <c r="M47" s="223">
        <f t="shared" si="17"/>
        <v>1.1524749733807262</v>
      </c>
      <c r="N47" s="164">
        <f>E47-жовтень!E47</f>
        <v>800</v>
      </c>
      <c r="O47" s="168">
        <f>F47-жовтень!F47</f>
        <v>1362.9699999999993</v>
      </c>
      <c r="P47" s="167">
        <f t="shared" si="15"/>
        <v>562.9699999999993</v>
      </c>
      <c r="Q47" s="165">
        <f t="shared" si="12"/>
        <v>170.37124999999992</v>
      </c>
      <c r="R47" s="37"/>
      <c r="S47" s="94"/>
      <c r="T47" s="147">
        <f t="shared" si="8"/>
        <v>350.97999999999956</v>
      </c>
    </row>
    <row r="48" spans="1:20" s="6" customFormat="1" ht="31.5">
      <c r="A48" s="8"/>
      <c r="B48" s="149" t="s">
        <v>101</v>
      </c>
      <c r="C48" s="72">
        <v>22012600</v>
      </c>
      <c r="D48" s="150">
        <v>650</v>
      </c>
      <c r="E48" s="150">
        <v>650</v>
      </c>
      <c r="F48" s="156">
        <v>282.65</v>
      </c>
      <c r="G48" s="162">
        <f t="shared" si="13"/>
        <v>-367.35</v>
      </c>
      <c r="H48" s="164">
        <f t="shared" si="11"/>
        <v>43.48461538461538</v>
      </c>
      <c r="I48" s="165">
        <f t="shared" si="14"/>
        <v>-367.35</v>
      </c>
      <c r="J48" s="165">
        <f t="shared" si="16"/>
        <v>43.48461538461538</v>
      </c>
      <c r="K48" s="165">
        <v>0</v>
      </c>
      <c r="L48" s="165">
        <f t="shared" si="1"/>
        <v>282.65</v>
      </c>
      <c r="M48" s="223"/>
      <c r="N48" s="164">
        <f>E48-жовтень!E48</f>
        <v>0</v>
      </c>
      <c r="O48" s="168">
        <f>F48-жовтень!F48</f>
        <v>36.119999999999976</v>
      </c>
      <c r="P48" s="167">
        <f t="shared" si="15"/>
        <v>36.119999999999976</v>
      </c>
      <c r="Q48" s="165"/>
      <c r="R48" s="37"/>
      <c r="S48" s="94"/>
      <c r="T48" s="147">
        <f t="shared" si="8"/>
        <v>0</v>
      </c>
    </row>
    <row r="49" spans="1:20" s="6" customFormat="1" ht="31.5">
      <c r="A49" s="8"/>
      <c r="B49" s="149" t="s">
        <v>109</v>
      </c>
      <c r="C49" s="72">
        <v>22012900</v>
      </c>
      <c r="D49" s="150">
        <v>50</v>
      </c>
      <c r="E49" s="150">
        <v>40</v>
      </c>
      <c r="F49" s="156">
        <v>19.16</v>
      </c>
      <c r="G49" s="162">
        <f t="shared" si="13"/>
        <v>-20.84</v>
      </c>
      <c r="H49" s="164">
        <f t="shared" si="11"/>
        <v>47.9</v>
      </c>
      <c r="I49" s="165">
        <f t="shared" si="14"/>
        <v>-30.84</v>
      </c>
      <c r="J49" s="165">
        <f t="shared" si="16"/>
        <v>38.32</v>
      </c>
      <c r="K49" s="165">
        <v>0</v>
      </c>
      <c r="L49" s="165">
        <f t="shared" si="1"/>
        <v>19.16</v>
      </c>
      <c r="M49" s="223"/>
      <c r="N49" s="164">
        <f>E49-жовтень!E49</f>
        <v>4</v>
      </c>
      <c r="O49" s="168">
        <f>F49-жовтень!F49</f>
        <v>2.1999999999999993</v>
      </c>
      <c r="P49" s="167">
        <f t="shared" si="15"/>
        <v>-1.8000000000000007</v>
      </c>
      <c r="Q49" s="165">
        <f t="shared" si="12"/>
        <v>54.999999999999986</v>
      </c>
      <c r="R49" s="37"/>
      <c r="S49" s="94"/>
      <c r="T49" s="147">
        <f t="shared" si="8"/>
        <v>10</v>
      </c>
    </row>
    <row r="50" spans="1:20" s="6" customFormat="1" ht="30.75">
      <c r="A50" s="8"/>
      <c r="B50" s="130" t="s">
        <v>14</v>
      </c>
      <c r="C50" s="49">
        <v>22080400</v>
      </c>
      <c r="D50" s="150">
        <v>8000</v>
      </c>
      <c r="E50" s="150">
        <v>7216.23</v>
      </c>
      <c r="F50" s="156">
        <v>6734.69</v>
      </c>
      <c r="G50" s="162">
        <f t="shared" si="13"/>
        <v>-481.53999999999996</v>
      </c>
      <c r="H50" s="164">
        <f t="shared" si="11"/>
        <v>93.32698652897705</v>
      </c>
      <c r="I50" s="165">
        <f t="shared" si="14"/>
        <v>-1265.3100000000004</v>
      </c>
      <c r="J50" s="165">
        <f t="shared" si="16"/>
        <v>84.18362499999999</v>
      </c>
      <c r="K50" s="165">
        <v>8180.78</v>
      </c>
      <c r="L50" s="165">
        <f t="shared" si="1"/>
        <v>-1446.0900000000001</v>
      </c>
      <c r="M50" s="223">
        <f t="shared" si="17"/>
        <v>0.823233236928508</v>
      </c>
      <c r="N50" s="164">
        <f>E50-жовтень!E50</f>
        <v>650</v>
      </c>
      <c r="O50" s="168">
        <f>F50-жовтень!F50</f>
        <v>540.75</v>
      </c>
      <c r="P50" s="167">
        <f t="shared" si="15"/>
        <v>-109.25</v>
      </c>
      <c r="Q50" s="165">
        <f t="shared" si="12"/>
        <v>83.1923076923077</v>
      </c>
      <c r="R50" s="37"/>
      <c r="S50" s="94"/>
      <c r="T50" s="147">
        <f t="shared" si="8"/>
        <v>783.7700000000004</v>
      </c>
    </row>
    <row r="51" spans="1:20" s="6" customFormat="1" ht="18">
      <c r="A51" s="8"/>
      <c r="B51" s="130" t="s">
        <v>15</v>
      </c>
      <c r="C51" s="43">
        <v>22090000</v>
      </c>
      <c r="D51" s="150">
        <v>7000.04</v>
      </c>
      <c r="E51" s="150">
        <v>6101.19</v>
      </c>
      <c r="F51" s="156">
        <v>5102.74</v>
      </c>
      <c r="G51" s="162">
        <f t="shared" si="13"/>
        <v>-998.4499999999998</v>
      </c>
      <c r="H51" s="164">
        <f t="shared" si="11"/>
        <v>83.63515969835393</v>
      </c>
      <c r="I51" s="165">
        <f t="shared" si="14"/>
        <v>-1897.3000000000002</v>
      </c>
      <c r="J51" s="165">
        <f t="shared" si="16"/>
        <v>72.8958691664619</v>
      </c>
      <c r="K51" s="165">
        <v>6761.32</v>
      </c>
      <c r="L51" s="165">
        <f t="shared" si="1"/>
        <v>-1658.58</v>
      </c>
      <c r="M51" s="223">
        <f t="shared" si="17"/>
        <v>0.7546958286251797</v>
      </c>
      <c r="N51" s="164">
        <f>E51-жовтень!E51</f>
        <v>635</v>
      </c>
      <c r="O51" s="168">
        <f>F51-жовтень!F51</f>
        <v>92.21000000000004</v>
      </c>
      <c r="P51" s="167">
        <f t="shared" si="15"/>
        <v>-542.79</v>
      </c>
      <c r="Q51" s="165">
        <f t="shared" si="12"/>
        <v>14.52125984251969</v>
      </c>
      <c r="R51" s="37"/>
      <c r="S51" s="94"/>
      <c r="T51" s="147">
        <f t="shared" si="8"/>
        <v>898.8500000000004</v>
      </c>
    </row>
    <row r="52" spans="1:20" s="6" customFormat="1" ht="15" hidden="1">
      <c r="A52" s="8"/>
      <c r="B52" s="50" t="s">
        <v>99</v>
      </c>
      <c r="C52" s="123">
        <v>22090100</v>
      </c>
      <c r="D52" s="103">
        <v>970</v>
      </c>
      <c r="E52" s="103">
        <v>873.99</v>
      </c>
      <c r="F52" s="140">
        <v>784.86</v>
      </c>
      <c r="G52" s="34">
        <f t="shared" si="13"/>
        <v>-89.13</v>
      </c>
      <c r="H52" s="30">
        <f t="shared" si="11"/>
        <v>89.801942813991</v>
      </c>
      <c r="I52" s="104">
        <f t="shared" si="14"/>
        <v>-185.14</v>
      </c>
      <c r="J52" s="104">
        <f t="shared" si="16"/>
        <v>80.91340206185566</v>
      </c>
      <c r="K52" s="104">
        <v>1017.62</v>
      </c>
      <c r="L52" s="104">
        <f>F52-K52</f>
        <v>-232.76</v>
      </c>
      <c r="M52" s="109">
        <f t="shared" si="17"/>
        <v>0.7712702187457008</v>
      </c>
      <c r="N52" s="105">
        <f>E52-жовтень!E52</f>
        <v>135</v>
      </c>
      <c r="O52" s="144">
        <f>F52-жовтень!F52</f>
        <v>82.56000000000006</v>
      </c>
      <c r="P52" s="106">
        <f t="shared" si="15"/>
        <v>-52.43999999999994</v>
      </c>
      <c r="Q52" s="119">
        <f t="shared" si="12"/>
        <v>61.155555555555594</v>
      </c>
      <c r="R52" s="37"/>
      <c r="S52" s="94"/>
      <c r="T52" s="147">
        <f t="shared" si="8"/>
        <v>96.00999999999999</v>
      </c>
    </row>
    <row r="53" spans="1:20" s="6" customFormat="1" ht="15" hidden="1">
      <c r="A53" s="8"/>
      <c r="B53" s="50" t="s">
        <v>96</v>
      </c>
      <c r="C53" s="123">
        <v>22090200</v>
      </c>
      <c r="D53" s="103">
        <v>5.04</v>
      </c>
      <c r="E53" s="103">
        <v>5.04</v>
      </c>
      <c r="F53" s="140">
        <v>0.29</v>
      </c>
      <c r="G53" s="34">
        <f t="shared" si="13"/>
        <v>-4.75</v>
      </c>
      <c r="H53" s="30">
        <f t="shared" si="11"/>
        <v>5.753968253968254</v>
      </c>
      <c r="I53" s="104">
        <f t="shared" si="14"/>
        <v>-4.75</v>
      </c>
      <c r="J53" s="104">
        <f t="shared" si="16"/>
        <v>5.753968253968254</v>
      </c>
      <c r="K53" s="104">
        <v>44.15</v>
      </c>
      <c r="L53" s="104">
        <f>F53-K53</f>
        <v>-43.86</v>
      </c>
      <c r="M53" s="109">
        <f t="shared" si="17"/>
        <v>0.006568516421291053</v>
      </c>
      <c r="N53" s="105">
        <f>E53-жовтень!E53</f>
        <v>0</v>
      </c>
      <c r="O53" s="144">
        <f>F53-жовтень!F53</f>
        <v>0</v>
      </c>
      <c r="P53" s="106">
        <f t="shared" si="15"/>
        <v>0</v>
      </c>
      <c r="Q53" s="119" t="e">
        <f t="shared" si="12"/>
        <v>#DIV/0!</v>
      </c>
      <c r="R53" s="37"/>
      <c r="S53" s="94"/>
      <c r="T53" s="147">
        <f t="shared" si="8"/>
        <v>0</v>
      </c>
    </row>
    <row r="54" spans="1:20" s="6" customFormat="1" ht="15" hidden="1">
      <c r="A54" s="8"/>
      <c r="B54" s="50" t="s">
        <v>97</v>
      </c>
      <c r="C54" s="123">
        <v>22090300</v>
      </c>
      <c r="D54" s="103">
        <v>1</v>
      </c>
      <c r="E54" s="103">
        <v>0</v>
      </c>
      <c r="F54" s="140">
        <v>0.02</v>
      </c>
      <c r="G54" s="34">
        <f t="shared" si="13"/>
        <v>0.02</v>
      </c>
      <c r="H54" s="30"/>
      <c r="I54" s="104">
        <f t="shared" si="14"/>
        <v>-0.98</v>
      </c>
      <c r="J54" s="104">
        <f t="shared" si="16"/>
        <v>2</v>
      </c>
      <c r="K54" s="104">
        <v>0.75</v>
      </c>
      <c r="L54" s="104">
        <f>F54-K54</f>
        <v>-0.73</v>
      </c>
      <c r="M54" s="109">
        <f t="shared" si="17"/>
        <v>0.02666666666666667</v>
      </c>
      <c r="N54" s="105">
        <f>E54-жовтень!E54</f>
        <v>0</v>
      </c>
      <c r="O54" s="144">
        <f>F54-жовтень!F54</f>
        <v>0</v>
      </c>
      <c r="P54" s="106">
        <f t="shared" si="15"/>
        <v>0</v>
      </c>
      <c r="Q54" s="119"/>
      <c r="R54" s="37"/>
      <c r="S54" s="94"/>
      <c r="T54" s="147">
        <f t="shared" si="8"/>
        <v>1</v>
      </c>
    </row>
    <row r="55" spans="1:20" s="6" customFormat="1" ht="15" hidden="1">
      <c r="A55" s="8"/>
      <c r="B55" s="50" t="s">
        <v>98</v>
      </c>
      <c r="C55" s="123">
        <v>22090400</v>
      </c>
      <c r="D55" s="103">
        <v>6024</v>
      </c>
      <c r="E55" s="103">
        <v>5222.17</v>
      </c>
      <c r="F55" s="140">
        <v>4317.57</v>
      </c>
      <c r="G55" s="34">
        <f t="shared" si="13"/>
        <v>-904.6000000000004</v>
      </c>
      <c r="H55" s="30">
        <f t="shared" si="11"/>
        <v>82.67769911741671</v>
      </c>
      <c r="I55" s="104">
        <f t="shared" si="14"/>
        <v>-1706.4300000000003</v>
      </c>
      <c r="J55" s="104">
        <f t="shared" si="16"/>
        <v>71.67280876494023</v>
      </c>
      <c r="K55" s="104">
        <v>5698.8</v>
      </c>
      <c r="L55" s="104">
        <f>F55-K55</f>
        <v>-1381.2300000000005</v>
      </c>
      <c r="M55" s="109">
        <f t="shared" si="17"/>
        <v>0.7576279216677194</v>
      </c>
      <c r="N55" s="105">
        <f>E55-жовтень!E55</f>
        <v>500</v>
      </c>
      <c r="O55" s="144">
        <f>F55-жовтень!F55</f>
        <v>9.649999999999636</v>
      </c>
      <c r="P55" s="106">
        <f t="shared" si="15"/>
        <v>-490.35000000000036</v>
      </c>
      <c r="Q55" s="119">
        <f t="shared" si="12"/>
        <v>1.9299999999999273</v>
      </c>
      <c r="R55" s="37"/>
      <c r="S55" s="94"/>
      <c r="T55" s="147">
        <f t="shared" si="8"/>
        <v>801.8299999999999</v>
      </c>
    </row>
    <row r="56" spans="1:20" s="6" customFormat="1" ht="46.5">
      <c r="A56" s="8"/>
      <c r="B56" s="13" t="s">
        <v>17</v>
      </c>
      <c r="C56" s="11" t="s">
        <v>18</v>
      </c>
      <c r="D56" s="150">
        <v>10</v>
      </c>
      <c r="E56" s="150">
        <v>0.17</v>
      </c>
      <c r="F56" s="156">
        <v>2.46</v>
      </c>
      <c r="G56" s="162">
        <f t="shared" si="13"/>
        <v>2.29</v>
      </c>
      <c r="H56" s="164">
        <f t="shared" si="11"/>
        <v>1447.0588235294117</v>
      </c>
      <c r="I56" s="165">
        <f t="shared" si="14"/>
        <v>-7.54</v>
      </c>
      <c r="J56" s="165">
        <f t="shared" si="16"/>
        <v>24.6</v>
      </c>
      <c r="K56" s="165">
        <v>3.89</v>
      </c>
      <c r="L56" s="165">
        <f>F56-K56</f>
        <v>-1.4300000000000002</v>
      </c>
      <c r="M56" s="223">
        <f t="shared" si="17"/>
        <v>0.6323907455012853</v>
      </c>
      <c r="N56" s="164">
        <f>E56-жовтень!E56</f>
        <v>0</v>
      </c>
      <c r="O56" s="168">
        <f>F56-жовтень!F56</f>
        <v>0</v>
      </c>
      <c r="P56" s="167">
        <f t="shared" si="15"/>
        <v>0</v>
      </c>
      <c r="Q56" s="165"/>
      <c r="R56" s="37"/>
      <c r="S56" s="94"/>
      <c r="T56" s="147">
        <f t="shared" si="8"/>
        <v>9.83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5150</v>
      </c>
      <c r="E57" s="150">
        <v>5137.98</v>
      </c>
      <c r="F57" s="156">
        <v>5945.02</v>
      </c>
      <c r="G57" s="162">
        <f t="shared" si="13"/>
        <v>807.0400000000009</v>
      </c>
      <c r="H57" s="164">
        <f t="shared" si="11"/>
        <v>115.7073402387709</v>
      </c>
      <c r="I57" s="165">
        <f t="shared" si="14"/>
        <v>795.0200000000004</v>
      </c>
      <c r="J57" s="165">
        <f t="shared" si="16"/>
        <v>115.43728155339808</v>
      </c>
      <c r="K57" s="165">
        <v>4367.82</v>
      </c>
      <c r="L57" s="165">
        <f aca="true" t="shared" si="18" ref="L57:L63">F57-K57</f>
        <v>1577.2000000000007</v>
      </c>
      <c r="M57" s="223">
        <f t="shared" si="17"/>
        <v>1.361095466388267</v>
      </c>
      <c r="N57" s="164">
        <f>E57-жовтень!E57</f>
        <v>60</v>
      </c>
      <c r="O57" s="168">
        <f>F57-жовтень!F57</f>
        <v>406.5600000000004</v>
      </c>
      <c r="P57" s="167">
        <f t="shared" si="15"/>
        <v>346.5600000000004</v>
      </c>
      <c r="Q57" s="165">
        <f t="shared" si="12"/>
        <v>677.6000000000007</v>
      </c>
      <c r="R57" s="37"/>
      <c r="S57" s="94"/>
      <c r="T57" s="147">
        <f t="shared" si="8"/>
        <v>12.020000000000437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 t="shared" si="13"/>
        <v>0</v>
      </c>
      <c r="H58" s="164" t="e">
        <f t="shared" si="11"/>
        <v>#DIV/0!</v>
      </c>
      <c r="I58" s="165">
        <f t="shared" si="14"/>
        <v>0</v>
      </c>
      <c r="J58" s="165" t="e">
        <f t="shared" si="16"/>
        <v>#DIV/0!</v>
      </c>
      <c r="K58" s="165"/>
      <c r="L58" s="165">
        <f t="shared" si="18"/>
        <v>0</v>
      </c>
      <c r="M58" s="223" t="e">
        <f t="shared" si="17"/>
        <v>#DIV/0!</v>
      </c>
      <c r="N58" s="164">
        <f>E58-жовтень!E58</f>
        <v>0</v>
      </c>
      <c r="O58" s="168">
        <f>F58-вересень!F58</f>
        <v>0</v>
      </c>
      <c r="P58" s="167">
        <f t="shared" si="15"/>
        <v>0</v>
      </c>
      <c r="Q58" s="165" t="e">
        <f t="shared" si="12"/>
        <v>#DIV/0!</v>
      </c>
      <c r="R58" s="37"/>
      <c r="S58" s="94"/>
      <c r="T58" s="147">
        <f t="shared" si="8"/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3">
        <v>1256.04</v>
      </c>
      <c r="G59" s="162"/>
      <c r="H59" s="164"/>
      <c r="I59" s="165"/>
      <c r="J59" s="165"/>
      <c r="K59" s="166">
        <v>1141.97</v>
      </c>
      <c r="L59" s="165">
        <f t="shared" si="18"/>
        <v>114.06999999999994</v>
      </c>
      <c r="M59" s="223">
        <f t="shared" si="17"/>
        <v>1.0998887886722069</v>
      </c>
      <c r="N59" s="164"/>
      <c r="O59" s="179">
        <f>F59-жовтень!F59</f>
        <v>119.17000000000007</v>
      </c>
      <c r="P59" s="166"/>
      <c r="Q59" s="165"/>
      <c r="R59" s="37"/>
      <c r="S59" s="94"/>
      <c r="T59" s="147">
        <f t="shared" si="8"/>
        <v>0</v>
      </c>
    </row>
    <row r="60" spans="1:20" s="6" customFormat="1" ht="18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 t="shared" si="13"/>
        <v>0</v>
      </c>
      <c r="H60" s="164"/>
      <c r="I60" s="165">
        <f t="shared" si="14"/>
        <v>0</v>
      </c>
      <c r="J60" s="165"/>
      <c r="K60" s="166"/>
      <c r="L60" s="165">
        <f t="shared" si="18"/>
        <v>0</v>
      </c>
      <c r="M60" s="223" t="e">
        <f t="shared" si="17"/>
        <v>#DIV/0!</v>
      </c>
      <c r="N60" s="164">
        <f>E60-вересень!E60</f>
        <v>0</v>
      </c>
      <c r="O60" s="168">
        <f>F60-вересень!F60</f>
        <v>0</v>
      </c>
      <c r="P60" s="167">
        <f t="shared" si="15"/>
        <v>0</v>
      </c>
      <c r="Q60" s="165"/>
      <c r="R60" s="37"/>
      <c r="S60" s="94"/>
      <c r="T60" s="147">
        <f t="shared" si="8"/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100</v>
      </c>
      <c r="E61" s="150">
        <v>100</v>
      </c>
      <c r="F61" s="156">
        <v>158.93</v>
      </c>
      <c r="G61" s="162">
        <f t="shared" si="13"/>
        <v>58.93000000000001</v>
      </c>
      <c r="H61" s="164">
        <f t="shared" si="11"/>
        <v>158.93</v>
      </c>
      <c r="I61" s="165">
        <f t="shared" si="14"/>
        <v>58.93000000000001</v>
      </c>
      <c r="J61" s="165">
        <f t="shared" si="16"/>
        <v>158.93</v>
      </c>
      <c r="K61" s="165">
        <v>20.05</v>
      </c>
      <c r="L61" s="165">
        <f t="shared" si="18"/>
        <v>138.88</v>
      </c>
      <c r="M61" s="223">
        <f t="shared" si="17"/>
        <v>7.926683291770574</v>
      </c>
      <c r="N61" s="164">
        <f>E61-жовтень!E61</f>
        <v>0</v>
      </c>
      <c r="O61" s="168">
        <f>F61-жовтень!F61</f>
        <v>0</v>
      </c>
      <c r="P61" s="167">
        <f t="shared" si="15"/>
        <v>0</v>
      </c>
      <c r="Q61" s="165"/>
      <c r="R61" s="37"/>
      <c r="S61" s="94"/>
      <c r="T61" s="147">
        <f t="shared" si="8"/>
        <v>0</v>
      </c>
    </row>
    <row r="62" spans="1:20" s="6" customFormat="1" ht="30.75">
      <c r="A62" s="8"/>
      <c r="B62" s="12" t="s">
        <v>44</v>
      </c>
      <c r="C62" s="43">
        <v>31010200</v>
      </c>
      <c r="D62" s="150">
        <v>30</v>
      </c>
      <c r="E62" s="150">
        <v>23.7</v>
      </c>
      <c r="F62" s="156">
        <v>13.52</v>
      </c>
      <c r="G62" s="162">
        <f t="shared" si="13"/>
        <v>-10.18</v>
      </c>
      <c r="H62" s="164">
        <f t="shared" si="11"/>
        <v>57.04641350210971</v>
      </c>
      <c r="I62" s="165">
        <f t="shared" si="14"/>
        <v>-16.48</v>
      </c>
      <c r="J62" s="165">
        <f t="shared" si="16"/>
        <v>45.06666666666666</v>
      </c>
      <c r="K62" s="165">
        <v>28.08</v>
      </c>
      <c r="L62" s="165">
        <f t="shared" si="18"/>
        <v>-14.559999999999999</v>
      </c>
      <c r="M62" s="223">
        <f t="shared" si="17"/>
        <v>0.4814814814814815</v>
      </c>
      <c r="N62" s="164">
        <f>E62-жовтень!E62</f>
        <v>2.3000000000000007</v>
      </c>
      <c r="O62" s="168">
        <f>F62-жовтень!F62</f>
        <v>0</v>
      </c>
      <c r="P62" s="167">
        <f t="shared" si="15"/>
        <v>-2.3000000000000007</v>
      </c>
      <c r="Q62" s="165">
        <f t="shared" si="12"/>
        <v>0</v>
      </c>
      <c r="R62" s="37"/>
      <c r="S62" s="94"/>
      <c r="T62" s="147">
        <f t="shared" si="8"/>
        <v>6.300000000000001</v>
      </c>
    </row>
    <row r="63" spans="1:20" s="6" customFormat="1" ht="30.75">
      <c r="A63" s="8"/>
      <c r="B63" s="12" t="s">
        <v>57</v>
      </c>
      <c r="C63" s="43">
        <v>31020000</v>
      </c>
      <c r="D63" s="150">
        <v>0.8</v>
      </c>
      <c r="E63" s="150">
        <v>0.2</v>
      </c>
      <c r="F63" s="156">
        <v>1.07</v>
      </c>
      <c r="G63" s="162">
        <f t="shared" si="13"/>
        <v>0.8700000000000001</v>
      </c>
      <c r="H63" s="164"/>
      <c r="I63" s="165">
        <f t="shared" si="14"/>
        <v>0.27</v>
      </c>
      <c r="J63" s="165"/>
      <c r="K63" s="165">
        <v>0.54</v>
      </c>
      <c r="L63" s="165">
        <f t="shared" si="18"/>
        <v>0.53</v>
      </c>
      <c r="M63" s="223">
        <f t="shared" si="17"/>
        <v>1.9814814814814814</v>
      </c>
      <c r="N63" s="164">
        <f>E63-жовтень!E63</f>
        <v>0</v>
      </c>
      <c r="O63" s="168">
        <f>F63-жовтень!F63</f>
        <v>0.050000000000000044</v>
      </c>
      <c r="P63" s="167">
        <f t="shared" si="15"/>
        <v>0.050000000000000044</v>
      </c>
      <c r="Q63" s="165"/>
      <c r="R63" s="37"/>
      <c r="S63" s="94"/>
      <c r="T63" s="147">
        <f t="shared" si="8"/>
        <v>0.6000000000000001</v>
      </c>
    </row>
    <row r="64" spans="1:21" s="6" customFormat="1" ht="18">
      <c r="A64" s="9"/>
      <c r="B64" s="14" t="s">
        <v>28</v>
      </c>
      <c r="C64" s="62"/>
      <c r="D64" s="151">
        <f>D8+D38+D62+D63</f>
        <v>1018944.7300000001</v>
      </c>
      <c r="E64" s="151">
        <f>E8+E38+E62+E63</f>
        <v>943629.7799999999</v>
      </c>
      <c r="F64" s="151">
        <f>F8+F38+F62+F63</f>
        <v>951700.9999999999</v>
      </c>
      <c r="G64" s="151">
        <f>F64-E64</f>
        <v>8071.219999999972</v>
      </c>
      <c r="H64" s="152">
        <f>F64/E64*100</f>
        <v>100.85533756681566</v>
      </c>
      <c r="I64" s="153">
        <f>F64-D64</f>
        <v>-67243.73000000021</v>
      </c>
      <c r="J64" s="153">
        <f>F64/D64*100</f>
        <v>93.40064990571175</v>
      </c>
      <c r="K64" s="153">
        <v>650580.27</v>
      </c>
      <c r="L64" s="153">
        <f>F64-K64</f>
        <v>301120.72999999986</v>
      </c>
      <c r="M64" s="224">
        <f>F64/K64</f>
        <v>1.4628494651397894</v>
      </c>
      <c r="N64" s="151">
        <f>N8+N38+N62+N63</f>
        <v>92637.22000000002</v>
      </c>
      <c r="O64" s="151">
        <f>O8+O38+O62+O63</f>
        <v>99049.96999999999</v>
      </c>
      <c r="P64" s="155">
        <f>O64-N64</f>
        <v>6412.749999999971</v>
      </c>
      <c r="Q64" s="153">
        <f>O64/N64*100</f>
        <v>106.92243355316575</v>
      </c>
      <c r="R64" s="27">
        <f>O64-34768</f>
        <v>64281.96999999999</v>
      </c>
      <c r="S64" s="115">
        <f>O64/34768</f>
        <v>2.8488831684307407</v>
      </c>
      <c r="T64" s="147">
        <f t="shared" si="8"/>
        <v>75314.95000000019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 t="shared" si="8"/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 t="shared" si="8"/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 t="shared" si="8"/>
        <v>0</v>
      </c>
    </row>
    <row r="68" spans="2:20" ht="15">
      <c r="B68" s="22" t="s">
        <v>111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 t="shared" si="8"/>
        <v>0</v>
      </c>
    </row>
    <row r="69" spans="2:20" ht="25.5" customHeight="1">
      <c r="B69" s="134" t="s">
        <v>102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11">
        <f>F69/K69</f>
        <v>1</v>
      </c>
      <c r="N69" s="162"/>
      <c r="O69" s="182">
        <f>F69-жовтень!F69</f>
        <v>0</v>
      </c>
      <c r="P69" s="167"/>
      <c r="Q69" s="167"/>
      <c r="R69" s="38"/>
      <c r="S69" s="97"/>
      <c r="T69" s="147">
        <f t="shared" si="8"/>
        <v>0</v>
      </c>
    </row>
    <row r="70" spans="2:20" ht="31.5">
      <c r="B70" s="23" t="s">
        <v>62</v>
      </c>
      <c r="C70" s="73">
        <v>18041500</v>
      </c>
      <c r="D70" s="180">
        <v>0</v>
      </c>
      <c r="E70" s="180"/>
      <c r="F70" s="181">
        <v>-10.19</v>
      </c>
      <c r="G70" s="162">
        <f>F70-E70</f>
        <v>-10.19</v>
      </c>
      <c r="H70" s="164"/>
      <c r="I70" s="167">
        <f>F70-D70</f>
        <v>-10.19</v>
      </c>
      <c r="J70" s="167"/>
      <c r="K70" s="167">
        <v>-55.72</v>
      </c>
      <c r="L70" s="167">
        <f>F70-K70</f>
        <v>45.53</v>
      </c>
      <c r="M70" s="211">
        <f>F70/K70</f>
        <v>0.18287867910983488</v>
      </c>
      <c r="N70" s="164"/>
      <c r="O70" s="182">
        <f>F70-жовтень!F70</f>
        <v>0</v>
      </c>
      <c r="P70" s="167">
        <f>O70-N70</f>
        <v>0</v>
      </c>
      <c r="Q70" s="167"/>
      <c r="R70" s="38"/>
      <c r="S70" s="97"/>
      <c r="T70" s="147">
        <f t="shared" si="8"/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-10.18</v>
      </c>
      <c r="G71" s="185">
        <f>F71-E71</f>
        <v>-10.18</v>
      </c>
      <c r="H71" s="186"/>
      <c r="I71" s="187">
        <f>F71-D71</f>
        <v>-10.18</v>
      </c>
      <c r="J71" s="187"/>
      <c r="K71" s="187">
        <v>-51.72</v>
      </c>
      <c r="L71" s="187">
        <f>F71-K71</f>
        <v>41.54</v>
      </c>
      <c r="M71" s="217">
        <f>F71/K71</f>
        <v>0.1968290796597061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 t="shared" si="8"/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18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 t="shared" si="8"/>
        <v>0</v>
      </c>
    </row>
    <row r="73" spans="2:20" ht="31.5">
      <c r="B73" s="23" t="s">
        <v>29</v>
      </c>
      <c r="C73" s="73">
        <v>31030000</v>
      </c>
      <c r="D73" s="180">
        <f>4200+11000</f>
        <v>15200</v>
      </c>
      <c r="E73" s="180">
        <v>4200</v>
      </c>
      <c r="F73" s="181">
        <v>2260.63</v>
      </c>
      <c r="G73" s="162">
        <f aca="true" t="shared" si="19" ref="G73:G83">F73-E73</f>
        <v>-1939.37</v>
      </c>
      <c r="H73" s="164"/>
      <c r="I73" s="167">
        <f aca="true" t="shared" si="20" ref="I73:I83">F73-D73</f>
        <v>-12939.369999999999</v>
      </c>
      <c r="J73" s="167">
        <f>F73/D73*100</f>
        <v>14.872565789473684</v>
      </c>
      <c r="K73" s="167">
        <v>619</v>
      </c>
      <c r="L73" s="167">
        <f aca="true" t="shared" si="21" ref="L73:L83">F73-K73</f>
        <v>1641.63</v>
      </c>
      <c r="M73" s="211">
        <f>F73/K73</f>
        <v>3.652067851373183</v>
      </c>
      <c r="N73" s="164">
        <f>E73-жовтень!E73</f>
        <v>1500</v>
      </c>
      <c r="O73" s="168">
        <f>F73-жовтень!F73</f>
        <v>208.4300000000003</v>
      </c>
      <c r="P73" s="167">
        <f aca="true" t="shared" si="22" ref="P73:P86">O73-N73</f>
        <v>-1291.5699999999997</v>
      </c>
      <c r="Q73" s="167">
        <f>O73/N73*100</f>
        <v>13.895333333333355</v>
      </c>
      <c r="R73" s="38"/>
      <c r="S73" s="97"/>
      <c r="T73" s="147">
        <f t="shared" si="8"/>
        <v>11000</v>
      </c>
    </row>
    <row r="74" spans="2:20" ht="18">
      <c r="B74" s="23" t="s">
        <v>30</v>
      </c>
      <c r="C74" s="73">
        <v>33010000</v>
      </c>
      <c r="D74" s="180">
        <f>7459+9700</f>
        <v>17159</v>
      </c>
      <c r="E74" s="180">
        <f>5554.31+4700</f>
        <v>10254.310000000001</v>
      </c>
      <c r="F74" s="181">
        <v>7293.63</v>
      </c>
      <c r="G74" s="162">
        <f t="shared" si="19"/>
        <v>-2960.680000000001</v>
      </c>
      <c r="H74" s="164">
        <f>F74/E74*100</f>
        <v>71.12745762513518</v>
      </c>
      <c r="I74" s="167">
        <f t="shared" si="20"/>
        <v>-9865.369999999999</v>
      </c>
      <c r="J74" s="167">
        <f>F74/D74*100</f>
        <v>42.50614837694505</v>
      </c>
      <c r="K74" s="167">
        <v>8212.99</v>
      </c>
      <c r="L74" s="167">
        <f t="shared" si="21"/>
        <v>-919.3599999999997</v>
      </c>
      <c r="M74" s="211">
        <f>F74/K74</f>
        <v>0.8880602557655617</v>
      </c>
      <c r="N74" s="164">
        <f>E74-жовтень!E74</f>
        <v>5101.4000000000015</v>
      </c>
      <c r="O74" s="168">
        <f>F74-жовтень!F74</f>
        <v>52.13000000000011</v>
      </c>
      <c r="P74" s="167">
        <f t="shared" si="22"/>
        <v>-5049.270000000001</v>
      </c>
      <c r="Q74" s="167">
        <f>O74/N74*100</f>
        <v>1.0218763476692692</v>
      </c>
      <c r="R74" s="38"/>
      <c r="S74" s="97"/>
      <c r="T74" s="147">
        <f aca="true" t="shared" si="23" ref="T74:T90">D74-E74</f>
        <v>6904.689999999999</v>
      </c>
    </row>
    <row r="75" spans="2:20" ht="31.5">
      <c r="B75" s="23" t="s">
        <v>54</v>
      </c>
      <c r="C75" s="73">
        <v>24170000</v>
      </c>
      <c r="D75" s="180">
        <f>6000+10000</f>
        <v>16000</v>
      </c>
      <c r="E75" s="180">
        <f>4500.85+4000</f>
        <v>8500.85</v>
      </c>
      <c r="F75" s="181">
        <v>12375.13</v>
      </c>
      <c r="G75" s="162">
        <f t="shared" si="19"/>
        <v>3874.279999999999</v>
      </c>
      <c r="H75" s="164">
        <f>F75/E75*100</f>
        <v>145.5752071851638</v>
      </c>
      <c r="I75" s="167">
        <f t="shared" si="20"/>
        <v>-3624.870000000001</v>
      </c>
      <c r="J75" s="167">
        <f>F75/D75*100</f>
        <v>77.3445625</v>
      </c>
      <c r="K75" s="167">
        <v>2292.73</v>
      </c>
      <c r="L75" s="167">
        <f t="shared" si="21"/>
        <v>10082.4</v>
      </c>
      <c r="M75" s="211">
        <f>F75/K75</f>
        <v>5.397552263022685</v>
      </c>
      <c r="N75" s="164">
        <f>E75-жовтень!E75</f>
        <v>5500</v>
      </c>
      <c r="O75" s="168">
        <f>F75-жовтень!F75</f>
        <v>128.3799999999992</v>
      </c>
      <c r="P75" s="167">
        <f t="shared" si="22"/>
        <v>-5371.620000000001</v>
      </c>
      <c r="Q75" s="167">
        <f>O75/N75*100</f>
        <v>2.3341818181818037</v>
      </c>
      <c r="R75" s="38"/>
      <c r="S75" s="97"/>
      <c r="T75" s="147">
        <f t="shared" si="23"/>
        <v>7499.15</v>
      </c>
    </row>
    <row r="76" spans="2:20" ht="18">
      <c r="B76" s="23" t="s">
        <v>103</v>
      </c>
      <c r="C76" s="73">
        <v>24110700</v>
      </c>
      <c r="D76" s="180">
        <v>12</v>
      </c>
      <c r="E76" s="180">
        <v>11</v>
      </c>
      <c r="F76" s="181">
        <v>12</v>
      </c>
      <c r="G76" s="162">
        <f t="shared" si="19"/>
        <v>1</v>
      </c>
      <c r="H76" s="164">
        <f>F76/E76*100</f>
        <v>109.09090909090908</v>
      </c>
      <c r="I76" s="167">
        <f t="shared" si="20"/>
        <v>0</v>
      </c>
      <c r="J76" s="167">
        <f>F76/D76*100</f>
        <v>100</v>
      </c>
      <c r="K76" s="167">
        <v>0</v>
      </c>
      <c r="L76" s="167">
        <f t="shared" si="21"/>
        <v>12</v>
      </c>
      <c r="M76" s="211"/>
      <c r="N76" s="164">
        <f>E76-жовтень!E76</f>
        <v>1</v>
      </c>
      <c r="O76" s="168">
        <f>F76-жовтень!F76</f>
        <v>1</v>
      </c>
      <c r="P76" s="167">
        <f t="shared" si="22"/>
        <v>0</v>
      </c>
      <c r="Q76" s="167">
        <f>O76/N76*100</f>
        <v>100</v>
      </c>
      <c r="R76" s="38"/>
      <c r="S76" s="136"/>
      <c r="T76" s="147">
        <f t="shared" si="23"/>
        <v>1</v>
      </c>
    </row>
    <row r="77" spans="2:20" ht="33">
      <c r="B77" s="28" t="s">
        <v>51</v>
      </c>
      <c r="C77" s="65"/>
      <c r="D77" s="183">
        <f>D73+D74+D75+D76</f>
        <v>48371</v>
      </c>
      <c r="E77" s="183">
        <f>E73+E74+E75+E76</f>
        <v>22966.160000000003</v>
      </c>
      <c r="F77" s="184">
        <f>F73+F74+F75+F76</f>
        <v>21941.39</v>
      </c>
      <c r="G77" s="185">
        <f t="shared" si="19"/>
        <v>-1024.770000000004</v>
      </c>
      <c r="H77" s="186">
        <f>F77/E77*100</f>
        <v>95.53791317312078</v>
      </c>
      <c r="I77" s="187">
        <f t="shared" si="20"/>
        <v>-26429.61</v>
      </c>
      <c r="J77" s="187">
        <f>F77/D77*100</f>
        <v>45.36062930268136</v>
      </c>
      <c r="K77" s="187">
        <v>11124.73</v>
      </c>
      <c r="L77" s="187">
        <f t="shared" si="21"/>
        <v>10816.66</v>
      </c>
      <c r="M77" s="217">
        <f>F77/K77</f>
        <v>1.97230764252256</v>
      </c>
      <c r="N77" s="185">
        <f>N73+N74+N75+N76</f>
        <v>12102.400000000001</v>
      </c>
      <c r="O77" s="189">
        <f>O73+O74+O75+O76</f>
        <v>389.9399999999996</v>
      </c>
      <c r="P77" s="187">
        <f t="shared" si="22"/>
        <v>-11712.460000000003</v>
      </c>
      <c r="Q77" s="187">
        <f>O77/N77*100</f>
        <v>3.2220055526176585</v>
      </c>
      <c r="R77" s="39"/>
      <c r="S77" s="116"/>
      <c r="T77" s="147">
        <f t="shared" si="23"/>
        <v>25404.839999999997</v>
      </c>
    </row>
    <row r="78" spans="2:20" ht="46.5">
      <c r="B78" s="12" t="s">
        <v>40</v>
      </c>
      <c r="C78" s="75">
        <v>24062100</v>
      </c>
      <c r="D78" s="180">
        <v>1</v>
      </c>
      <c r="E78" s="180">
        <v>0</v>
      </c>
      <c r="F78" s="181">
        <v>53.94</v>
      </c>
      <c r="G78" s="162">
        <f t="shared" si="19"/>
        <v>53.94</v>
      </c>
      <c r="H78" s="164"/>
      <c r="I78" s="167">
        <f t="shared" si="20"/>
        <v>52.94</v>
      </c>
      <c r="J78" s="167"/>
      <c r="K78" s="167">
        <v>0.35</v>
      </c>
      <c r="L78" s="167">
        <f t="shared" si="21"/>
        <v>53.589999999999996</v>
      </c>
      <c r="M78" s="211">
        <f>F78/K78</f>
        <v>154.11428571428573</v>
      </c>
      <c r="N78" s="164">
        <f>E78-жовтень!E78</f>
        <v>0</v>
      </c>
      <c r="O78" s="168">
        <f>F78-жовтень!F78</f>
        <v>17.989999999999995</v>
      </c>
      <c r="P78" s="167">
        <f t="shared" si="22"/>
        <v>17.989999999999995</v>
      </c>
      <c r="Q78" s="167"/>
      <c r="R78" s="38"/>
      <c r="S78" s="97"/>
      <c r="T78" s="147">
        <f t="shared" si="23"/>
        <v>1</v>
      </c>
    </row>
    <row r="79" spans="2:20" ht="18" hidden="1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 t="shared" si="19"/>
        <v>0</v>
      </c>
      <c r="H79" s="164"/>
      <c r="I79" s="167">
        <f t="shared" si="20"/>
        <v>0</v>
      </c>
      <c r="J79" s="190"/>
      <c r="K79" s="167">
        <v>0</v>
      </c>
      <c r="L79" s="167">
        <f t="shared" si="21"/>
        <v>0</v>
      </c>
      <c r="M79" s="211" t="e">
        <f>F79/K79</f>
        <v>#DIV/0!</v>
      </c>
      <c r="N79" s="164">
        <f>E79-жовтень!E79</f>
        <v>0</v>
      </c>
      <c r="O79" s="168">
        <f>F79-жовтень!F79</f>
        <v>0</v>
      </c>
      <c r="P79" s="167">
        <f t="shared" si="22"/>
        <v>0</v>
      </c>
      <c r="Q79" s="190"/>
      <c r="R79" s="41"/>
      <c r="S79" s="99"/>
      <c r="T79" s="147">
        <f t="shared" si="23"/>
        <v>0</v>
      </c>
    </row>
    <row r="80" spans="2:20" ht="18">
      <c r="B80" s="23" t="s">
        <v>46</v>
      </c>
      <c r="C80" s="73">
        <v>19010000</v>
      </c>
      <c r="D80" s="180">
        <v>9500</v>
      </c>
      <c r="E80" s="180">
        <v>9498.7</v>
      </c>
      <c r="F80" s="181">
        <v>8350.66</v>
      </c>
      <c r="G80" s="162">
        <f t="shared" si="19"/>
        <v>-1148.0400000000009</v>
      </c>
      <c r="H80" s="164">
        <f>F80/E80*100</f>
        <v>87.91371450830113</v>
      </c>
      <c r="I80" s="167">
        <f t="shared" si="20"/>
        <v>-1149.3400000000001</v>
      </c>
      <c r="J80" s="167">
        <f>F80/D80*100</f>
        <v>87.90168421052631</v>
      </c>
      <c r="K80" s="167">
        <v>0</v>
      </c>
      <c r="L80" s="167">
        <f t="shared" si="21"/>
        <v>8350.66</v>
      </c>
      <c r="M80" s="211"/>
      <c r="N80" s="164">
        <f>E80-жовтень!E80</f>
        <v>1873.4000000000005</v>
      </c>
      <c r="O80" s="168">
        <f>F80-жовтень!F80</f>
        <v>1514.5900000000001</v>
      </c>
      <c r="P80" s="167">
        <f>O80-N80</f>
        <v>-358.8100000000004</v>
      </c>
      <c r="Q80" s="190">
        <f>O80/N80*100</f>
        <v>80.84712287818937</v>
      </c>
      <c r="R80" s="41"/>
      <c r="S80" s="99"/>
      <c r="T80" s="147">
        <f t="shared" si="23"/>
        <v>1.2999999999992724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1.48</v>
      </c>
      <c r="G81" s="162">
        <f t="shared" si="19"/>
        <v>1.48</v>
      </c>
      <c r="H81" s="164"/>
      <c r="I81" s="167">
        <f t="shared" si="20"/>
        <v>1.48</v>
      </c>
      <c r="J81" s="167"/>
      <c r="K81" s="167">
        <v>1.31</v>
      </c>
      <c r="L81" s="167">
        <f t="shared" si="21"/>
        <v>0.16999999999999993</v>
      </c>
      <c r="M81" s="211">
        <f>F81/K81</f>
        <v>1.129770992366412</v>
      </c>
      <c r="N81" s="164">
        <f>E81-жовтень!E81</f>
        <v>0</v>
      </c>
      <c r="O81" s="168">
        <f>F81-жовтень!F81</f>
        <v>0.1399999999999999</v>
      </c>
      <c r="P81" s="167">
        <f t="shared" si="22"/>
        <v>0.1399999999999999</v>
      </c>
      <c r="Q81" s="167"/>
      <c r="R81" s="38"/>
      <c r="S81" s="97"/>
      <c r="T81" s="147">
        <f t="shared" si="23"/>
        <v>0</v>
      </c>
    </row>
    <row r="82" spans="2:20" ht="30">
      <c r="B82" s="28" t="s">
        <v>47</v>
      </c>
      <c r="C82" s="73"/>
      <c r="D82" s="183">
        <f>D78+D81+D79+D80</f>
        <v>9501</v>
      </c>
      <c r="E82" s="183">
        <f>E78+E81+E79+E80</f>
        <v>9498.7</v>
      </c>
      <c r="F82" s="184">
        <f>F78+F81+F79+F80</f>
        <v>8406.08</v>
      </c>
      <c r="G82" s="183">
        <f>G78+G81+G79+G80</f>
        <v>-1092.6200000000008</v>
      </c>
      <c r="H82" s="186">
        <f>F82/E82*100</f>
        <v>88.49716276964216</v>
      </c>
      <c r="I82" s="187">
        <f t="shared" si="20"/>
        <v>-1094.92</v>
      </c>
      <c r="J82" s="187">
        <f>F82/D82*100</f>
        <v>88.47573939585307</v>
      </c>
      <c r="K82" s="187">
        <v>1.66</v>
      </c>
      <c r="L82" s="187">
        <f t="shared" si="21"/>
        <v>8404.42</v>
      </c>
      <c r="M82" s="225">
        <f>F82/K82</f>
        <v>5063.903614457831</v>
      </c>
      <c r="N82" s="185">
        <f>N78+N81+N79+N80</f>
        <v>1873.4000000000005</v>
      </c>
      <c r="O82" s="189">
        <f>O78+O81+O79+O80</f>
        <v>1532.7200000000003</v>
      </c>
      <c r="P82" s="185">
        <f>P78+P81+P79+P80</f>
        <v>-340.6800000000004</v>
      </c>
      <c r="Q82" s="187">
        <f>O82/N82*100</f>
        <v>81.81488203266787</v>
      </c>
      <c r="R82" s="39"/>
      <c r="S82" s="96"/>
      <c r="T82" s="147">
        <f t="shared" si="23"/>
        <v>2.2999999999992724</v>
      </c>
    </row>
    <row r="83" spans="2:20" ht="30.75">
      <c r="B83" s="12" t="s">
        <v>41</v>
      </c>
      <c r="C83" s="43">
        <v>24110900</v>
      </c>
      <c r="D83" s="180">
        <v>43</v>
      </c>
      <c r="E83" s="180">
        <v>30.36</v>
      </c>
      <c r="F83" s="181">
        <v>27.79</v>
      </c>
      <c r="G83" s="162">
        <f t="shared" si="19"/>
        <v>-2.5700000000000003</v>
      </c>
      <c r="H83" s="164">
        <f>F83/E83*100</f>
        <v>91.53491436100131</v>
      </c>
      <c r="I83" s="167">
        <f t="shared" si="20"/>
        <v>-15.21</v>
      </c>
      <c r="J83" s="167">
        <f>F83/D83*100</f>
        <v>64.62790697674419</v>
      </c>
      <c r="K83" s="167">
        <v>30.61</v>
      </c>
      <c r="L83" s="167">
        <f t="shared" si="21"/>
        <v>-2.8200000000000003</v>
      </c>
      <c r="M83" s="211">
        <f>F83/K83</f>
        <v>0.9078732440378962</v>
      </c>
      <c r="N83" s="164">
        <f>E83-жовтень!E83</f>
        <v>0.5899999999999999</v>
      </c>
      <c r="O83" s="168">
        <f>F83-жовтень!F83</f>
        <v>0.3200000000000003</v>
      </c>
      <c r="P83" s="167">
        <f t="shared" si="22"/>
        <v>-0.2699999999999996</v>
      </c>
      <c r="Q83" s="167">
        <f>O83/N83</f>
        <v>0.5423728813559329</v>
      </c>
      <c r="R83" s="38"/>
      <c r="S83" s="97"/>
      <c r="T83" s="147">
        <f t="shared" si="23"/>
        <v>12.64</v>
      </c>
    </row>
    <row r="84" spans="2:20" ht="18" hidden="1">
      <c r="B84" s="122"/>
      <c r="C84" s="43"/>
      <c r="D84" s="180"/>
      <c r="E84" s="180"/>
      <c r="F84" s="181"/>
      <c r="G84" s="162"/>
      <c r="H84" s="164"/>
      <c r="I84" s="167"/>
      <c r="J84" s="167"/>
      <c r="K84" s="167">
        <v>0</v>
      </c>
      <c r="L84" s="167"/>
      <c r="M84" s="167"/>
      <c r="N84" s="164" t="e">
        <f>E84-#REF!</f>
        <v>#REF!</v>
      </c>
      <c r="O84" s="168" t="e">
        <f>F84-#REF!</f>
        <v>#REF!</v>
      </c>
      <c r="P84" s="167" t="e">
        <f t="shared" si="22"/>
        <v>#REF!</v>
      </c>
      <c r="Q84" s="167"/>
      <c r="R84" s="38"/>
      <c r="S84" s="97"/>
      <c r="T84" s="147">
        <f t="shared" si="23"/>
        <v>0</v>
      </c>
    </row>
    <row r="85" spans="2:20" ht="23.25" customHeight="1">
      <c r="B85" s="14" t="s">
        <v>31</v>
      </c>
      <c r="C85" s="66"/>
      <c r="D85" s="191">
        <f>D71+D83+D77+D82</f>
        <v>57915</v>
      </c>
      <c r="E85" s="191">
        <f>E71+E83+E77+E82</f>
        <v>32495.220000000005</v>
      </c>
      <c r="F85" s="191">
        <f>F71+F83+F77+F82+F84</f>
        <v>30365.08</v>
      </c>
      <c r="G85" s="192">
        <f>F85-E85</f>
        <v>-2130.140000000003</v>
      </c>
      <c r="H85" s="193">
        <f>F85/E85*100</f>
        <v>93.44475895223974</v>
      </c>
      <c r="I85" s="194">
        <f>F85-D85</f>
        <v>-27549.92</v>
      </c>
      <c r="J85" s="194">
        <f>F85/D85*100</f>
        <v>52.43042389709057</v>
      </c>
      <c r="K85" s="194">
        <v>11101.47</v>
      </c>
      <c r="L85" s="194">
        <f>F85-K85</f>
        <v>19263.61</v>
      </c>
      <c r="M85" s="226">
        <f>F85/K85</f>
        <v>2.7352305595565274</v>
      </c>
      <c r="N85" s="191">
        <f>N71+N83+N77+N82</f>
        <v>13976.390000000003</v>
      </c>
      <c r="O85" s="191" t="e">
        <f>O71+O83+O77+O82+O84</f>
        <v>#REF!</v>
      </c>
      <c r="P85" s="194" t="e">
        <f t="shared" si="22"/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 t="shared" si="23"/>
        <v>25419.779999999995</v>
      </c>
    </row>
    <row r="86" spans="2:20" ht="17.25">
      <c r="B86" s="21" t="s">
        <v>32</v>
      </c>
      <c r="C86" s="66"/>
      <c r="D86" s="191">
        <f>D64+D85</f>
        <v>1076859.73</v>
      </c>
      <c r="E86" s="191">
        <f>E64+E85</f>
        <v>976124.9999999999</v>
      </c>
      <c r="F86" s="191">
        <f>F64+F85</f>
        <v>982066.0799999998</v>
      </c>
      <c r="G86" s="192">
        <f>F86-E86</f>
        <v>5941.079999999958</v>
      </c>
      <c r="H86" s="193">
        <f>F86/E86*100</f>
        <v>100.60863926238954</v>
      </c>
      <c r="I86" s="194">
        <f>F86-D86</f>
        <v>-94793.65000000014</v>
      </c>
      <c r="J86" s="194">
        <f>F86/D86*100</f>
        <v>91.19721470130561</v>
      </c>
      <c r="K86" s="194">
        <f>K64+K85</f>
        <v>661681.74</v>
      </c>
      <c r="L86" s="194">
        <f>F86-K86</f>
        <v>320384.33999999985</v>
      </c>
      <c r="M86" s="226">
        <f>F86/K86</f>
        <v>1.4841970401057158</v>
      </c>
      <c r="N86" s="192">
        <f>N64+N85</f>
        <v>106613.61000000002</v>
      </c>
      <c r="O86" s="192" t="e">
        <f>O64+O85</f>
        <v>#REF!</v>
      </c>
      <c r="P86" s="194" t="e">
        <f t="shared" si="22"/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 t="shared" si="23"/>
        <v>100734.7300000001</v>
      </c>
    </row>
    <row r="87" spans="2:20" ht="15">
      <c r="B87" s="20" t="s">
        <v>34</v>
      </c>
      <c r="O87" s="25"/>
      <c r="T87" s="147">
        <f t="shared" si="23"/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 t="shared" si="23"/>
        <v>#VALUE!</v>
      </c>
    </row>
    <row r="89" spans="2:20" ht="30.75">
      <c r="B89" s="52" t="s">
        <v>53</v>
      </c>
      <c r="C89" s="29">
        <f>IF(P64&lt;0,ABS(P64/C88),0)</f>
        <v>0</v>
      </c>
      <c r="D89" s="4" t="s">
        <v>24</v>
      </c>
      <c r="G89" s="268"/>
      <c r="H89" s="268"/>
      <c r="I89" s="268"/>
      <c r="J89" s="268"/>
      <c r="K89" s="84"/>
      <c r="L89" s="84"/>
      <c r="M89" s="84"/>
      <c r="Q89" s="25"/>
      <c r="R89" s="25"/>
      <c r="T89" s="147" t="e">
        <f t="shared" si="23"/>
        <v>#VALUE!</v>
      </c>
    </row>
    <row r="90" spans="2:20" ht="34.5" customHeight="1">
      <c r="B90" s="53" t="s">
        <v>55</v>
      </c>
      <c r="C90" s="81">
        <v>42704</v>
      </c>
      <c r="D90" s="29">
        <v>10501.2</v>
      </c>
      <c r="G90" s="4" t="s">
        <v>58</v>
      </c>
      <c r="O90" s="269"/>
      <c r="P90" s="269"/>
      <c r="T90" s="147">
        <f t="shared" si="23"/>
        <v>10501.2</v>
      </c>
    </row>
    <row r="91" spans="3:16" ht="15">
      <c r="C91" s="81">
        <v>42703</v>
      </c>
      <c r="D91" s="29">
        <v>11827.8</v>
      </c>
      <c r="F91" s="113" t="s">
        <v>58</v>
      </c>
      <c r="G91" s="270"/>
      <c r="H91" s="270"/>
      <c r="I91" s="118"/>
      <c r="J91" s="271"/>
      <c r="K91" s="271"/>
      <c r="L91" s="271"/>
      <c r="M91" s="271"/>
      <c r="N91" s="271"/>
      <c r="O91" s="269"/>
      <c r="P91" s="269"/>
    </row>
    <row r="92" spans="3:16" ht="15.75" customHeight="1">
      <c r="C92" s="81">
        <v>42702</v>
      </c>
      <c r="D92" s="29">
        <v>7211.9</v>
      </c>
      <c r="F92" s="68"/>
      <c r="G92" s="270"/>
      <c r="H92" s="270"/>
      <c r="I92" s="118"/>
      <c r="J92" s="272"/>
      <c r="K92" s="272"/>
      <c r="L92" s="272"/>
      <c r="M92" s="272"/>
      <c r="N92" s="272"/>
      <c r="O92" s="269"/>
      <c r="P92" s="269"/>
    </row>
    <row r="93" spans="3:14" ht="15.75" customHeight="1">
      <c r="C93" s="81"/>
      <c r="F93" s="68"/>
      <c r="G93" s="276"/>
      <c r="H93" s="276"/>
      <c r="I93" s="124"/>
      <c r="J93" s="271"/>
      <c r="K93" s="271"/>
      <c r="L93" s="271"/>
      <c r="M93" s="271"/>
      <c r="N93" s="271"/>
    </row>
    <row r="94" spans="2:14" ht="18.75" customHeight="1">
      <c r="B94" s="277" t="s">
        <v>56</v>
      </c>
      <c r="C94" s="278"/>
      <c r="D94" s="133">
        <v>0</v>
      </c>
      <c r="E94" s="69"/>
      <c r="F94" s="125" t="s">
        <v>110</v>
      </c>
      <c r="G94" s="270"/>
      <c r="H94" s="270"/>
      <c r="I94" s="126"/>
      <c r="J94" s="271"/>
      <c r="K94" s="271"/>
      <c r="L94" s="271"/>
      <c r="M94" s="271"/>
      <c r="N94" s="271"/>
    </row>
    <row r="95" spans="6:13" ht="9.75" customHeight="1">
      <c r="F95" s="68"/>
      <c r="G95" s="270"/>
      <c r="H95" s="270"/>
      <c r="I95" s="68"/>
      <c r="J95" s="69"/>
      <c r="K95" s="69"/>
      <c r="L95" s="69"/>
      <c r="M95" s="69"/>
    </row>
    <row r="96" spans="2:13" ht="22.5" customHeight="1">
      <c r="B96" s="273" t="s">
        <v>59</v>
      </c>
      <c r="C96" s="274"/>
      <c r="D96" s="80">
        <v>0</v>
      </c>
      <c r="E96" s="51" t="s">
        <v>24</v>
      </c>
      <c r="F96" s="68"/>
      <c r="G96" s="270"/>
      <c r="H96" s="270"/>
      <c r="I96" s="68"/>
      <c r="J96" s="69"/>
      <c r="K96" s="69"/>
      <c r="L96" s="69"/>
      <c r="M96" s="69"/>
    </row>
    <row r="97" spans="4:16" ht="15" hidden="1">
      <c r="D97" s="68">
        <f>D45+D48+D49</f>
        <v>1000</v>
      </c>
      <c r="E97" s="68">
        <f>E45+E48+E49</f>
        <v>980</v>
      </c>
      <c r="F97" s="205">
        <f>F45+F48+F49</f>
        <v>931.5899999999999</v>
      </c>
      <c r="G97" s="68">
        <f>G45+G48+G49</f>
        <v>-48.41000000000005</v>
      </c>
      <c r="H97" s="69"/>
      <c r="I97" s="69"/>
      <c r="N97" s="29">
        <f>N45+N48+N49</f>
        <v>22</v>
      </c>
      <c r="O97" s="204">
        <f>O45+O48+O49</f>
        <v>137.07999999999996</v>
      </c>
      <c r="P97" s="29">
        <f>P45+P48+P49</f>
        <v>115.07999999999997</v>
      </c>
    </row>
    <row r="98" spans="4:16" ht="15" hidden="1">
      <c r="D98" s="78"/>
      <c r="I98" s="29"/>
      <c r="O98" s="275"/>
      <c r="P98" s="275"/>
    </row>
    <row r="99" spans="2:17" ht="15" hidden="1">
      <c r="B99" s="4" t="s">
        <v>157</v>
      </c>
      <c r="D99" s="29">
        <f>D9+D15+D17+D18+D19+D20+D39+D42+D56+D62+D63</f>
        <v>957512.2500000001</v>
      </c>
      <c r="E99" s="29">
        <f>E9+E15+E17+E18+E19+E20+E39+E42+E56+E62+E63</f>
        <v>884843.9199999999</v>
      </c>
      <c r="F99" s="234">
        <f>F9+F15+F17+F18+F19+F20+F39+F42+F56+F62+F63</f>
        <v>891166.8299999998</v>
      </c>
      <c r="G99" s="29">
        <f>F99-E99</f>
        <v>6322.909999999916</v>
      </c>
      <c r="H99" s="235">
        <f>F99/E99</f>
        <v>1.007145791316507</v>
      </c>
      <c r="I99" s="29">
        <f>F99-D99</f>
        <v>-66345.42000000027</v>
      </c>
      <c r="J99" s="235">
        <f>F99/D99</f>
        <v>0.9307106305950652</v>
      </c>
      <c r="N99" s="29">
        <f>N9+N15+N17+N18+N19+N20+N39+N42+N44+N56+N62+N63</f>
        <v>88760.22000000002</v>
      </c>
      <c r="O99" s="234">
        <f>O9+O15+O17+O18+O19+O20+O39+O42+O44+O56+O62+O63</f>
        <v>93083.55999999998</v>
      </c>
      <c r="P99" s="29">
        <f>O99-N99</f>
        <v>4323.339999999967</v>
      </c>
      <c r="Q99" s="235">
        <f>O99/N99</f>
        <v>1.0487080811651883</v>
      </c>
    </row>
    <row r="100" spans="2:17" ht="15" hidden="1">
      <c r="B100" s="4" t="s">
        <v>158</v>
      </c>
      <c r="D100" s="29">
        <f>D40+D41+D43+D45+D47+D48+D49+D50+D51+D57+D61+D44</f>
        <v>61432.48</v>
      </c>
      <c r="E100" s="29">
        <f>E40+E41+E43+E45+E47+E48+E49+E50+E51+E57+E61+E44</f>
        <v>58785.86</v>
      </c>
      <c r="F100" s="234">
        <f>F40+F41+F43+F45+F47+F48+F49+F50+F51+F57+F61+F44</f>
        <v>60534.17000000001</v>
      </c>
      <c r="G100" s="29">
        <f>G40+G41+G43+G45+G47+G48+G49+G50+G51+G57+G61+G44</f>
        <v>1748.3100000000009</v>
      </c>
      <c r="H100" s="235">
        <f>F100/E100</f>
        <v>1.0297403151029858</v>
      </c>
      <c r="I100" s="29">
        <f>I40+I41+I43+I45+I47+I48+I49+I50+I51+I57+I61+I44</f>
        <v>-898.3099999999998</v>
      </c>
      <c r="J100" s="235">
        <f>F100/D100</f>
        <v>0.985377279250325</v>
      </c>
      <c r="K100" s="29">
        <f aca="true" t="shared" si="24" ref="K100:P100">K40+K41+K43+K45+K47+K48+K49+K50+K51+K57+K61+K44</f>
        <v>41736.590000000004</v>
      </c>
      <c r="L100" s="29">
        <f t="shared" si="24"/>
        <v>18797.579999999998</v>
      </c>
      <c r="M100" s="29">
        <f t="shared" si="24"/>
        <v>12.944314082761139</v>
      </c>
      <c r="N100" s="29">
        <f t="shared" si="24"/>
        <v>3877</v>
      </c>
      <c r="O100" s="234">
        <f t="shared" si="24"/>
        <v>6003.830000000002</v>
      </c>
      <c r="P100" s="29">
        <f t="shared" si="24"/>
        <v>2089.4100000000017</v>
      </c>
      <c r="Q100" s="235">
        <f>O100/N100</f>
        <v>1.5485762187258194</v>
      </c>
    </row>
    <row r="101" spans="2:17" ht="15" hidden="1">
      <c r="B101" s="4" t="s">
        <v>159</v>
      </c>
      <c r="D101" s="29">
        <f>SUM(D99:D100)</f>
        <v>1018944.7300000001</v>
      </c>
      <c r="E101" s="29">
        <f aca="true" t="shared" si="25" ref="E101:P101">SUM(E99:E100)</f>
        <v>943629.7799999999</v>
      </c>
      <c r="F101" s="234">
        <f t="shared" si="25"/>
        <v>951700.9999999999</v>
      </c>
      <c r="G101" s="29">
        <f t="shared" si="25"/>
        <v>8071.2199999999175</v>
      </c>
      <c r="H101" s="235">
        <f>F101/E101</f>
        <v>1.0085533756681566</v>
      </c>
      <c r="I101" s="29">
        <f t="shared" si="25"/>
        <v>-67243.73000000027</v>
      </c>
      <c r="J101" s="235">
        <f>F101/D101</f>
        <v>0.9340064990571174</v>
      </c>
      <c r="K101" s="29">
        <f t="shared" si="25"/>
        <v>41736.590000000004</v>
      </c>
      <c r="L101" s="29">
        <f t="shared" si="25"/>
        <v>18797.579999999998</v>
      </c>
      <c r="M101" s="29">
        <f t="shared" si="25"/>
        <v>12.944314082761139</v>
      </c>
      <c r="N101" s="29">
        <f t="shared" si="25"/>
        <v>92637.22000000002</v>
      </c>
      <c r="O101" s="234">
        <f t="shared" si="25"/>
        <v>99087.38999999998</v>
      </c>
      <c r="P101" s="29">
        <f t="shared" si="25"/>
        <v>6412.749999999969</v>
      </c>
      <c r="Q101" s="235">
        <f>O101/N101</f>
        <v>1.0696282768416405</v>
      </c>
    </row>
    <row r="102" spans="4:21" ht="15" hidden="1">
      <c r="D102" s="29">
        <f>D64-D101</f>
        <v>0</v>
      </c>
      <c r="E102" s="29">
        <f aca="true" t="shared" si="26" ref="E102:U102">E64-E101</f>
        <v>0</v>
      </c>
      <c r="F102" s="29">
        <f t="shared" si="26"/>
        <v>0</v>
      </c>
      <c r="G102" s="29">
        <f t="shared" si="26"/>
        <v>5.4569682106375694E-11</v>
      </c>
      <c r="H102" s="235"/>
      <c r="I102" s="29">
        <f t="shared" si="26"/>
        <v>0</v>
      </c>
      <c r="J102" s="235"/>
      <c r="K102" s="29">
        <f t="shared" si="26"/>
        <v>608843.68</v>
      </c>
      <c r="L102" s="29">
        <f t="shared" si="26"/>
        <v>282323.14999999985</v>
      </c>
      <c r="M102" s="29">
        <f t="shared" si="26"/>
        <v>-11.481464617621349</v>
      </c>
      <c r="N102" s="29">
        <f t="shared" si="26"/>
        <v>0</v>
      </c>
      <c r="O102" s="29">
        <f t="shared" si="26"/>
        <v>-37.419999999998254</v>
      </c>
      <c r="P102" s="29">
        <f t="shared" si="26"/>
        <v>0</v>
      </c>
      <c r="Q102" s="29"/>
      <c r="R102" s="29">
        <f t="shared" si="26"/>
        <v>64281.96999999999</v>
      </c>
      <c r="S102" s="29">
        <f t="shared" si="26"/>
        <v>2.8488831684307407</v>
      </c>
      <c r="T102" s="29">
        <f t="shared" si="26"/>
        <v>75314.95000000019</v>
      </c>
      <c r="U102" s="29">
        <f t="shared" si="26"/>
        <v>0</v>
      </c>
    </row>
    <row r="103" ht="15">
      <c r="E103" s="4" t="s">
        <v>58</v>
      </c>
    </row>
  </sheetData>
  <sheetProtection/>
  <mergeCells count="37"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968503937007874" right="0.11811023622047245" top="0.1968503937007874" bottom="0.15748031496062992" header="0" footer="0"/>
  <pageSetup fitToHeight="1" fitToWidth="1" orientation="portrait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8" zoomScaleNormal="78" zoomScalePageLayoutView="0" workbookViewId="0" topLeftCell="B1">
      <pane xSplit="2" ySplit="8" topLeftCell="D1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242" t="s">
        <v>152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86"/>
      <c r="S1" s="87"/>
    </row>
    <row r="2" spans="2:19" s="1" customFormat="1" ht="15.75" customHeight="1">
      <c r="B2" s="243"/>
      <c r="C2" s="243"/>
      <c r="D2" s="243"/>
      <c r="E2" s="2"/>
      <c r="F2" s="112"/>
      <c r="G2" s="2"/>
      <c r="H2" s="2"/>
      <c r="Q2" s="17" t="s">
        <v>24</v>
      </c>
      <c r="R2" s="17"/>
      <c r="S2" s="88"/>
    </row>
    <row r="3" spans="1:19" s="3" customFormat="1" ht="13.5" customHeight="1">
      <c r="A3" s="244"/>
      <c r="B3" s="246"/>
      <c r="C3" s="247" t="s">
        <v>0</v>
      </c>
      <c r="D3" s="248" t="s">
        <v>105</v>
      </c>
      <c r="E3" s="32"/>
      <c r="F3" s="249" t="s">
        <v>26</v>
      </c>
      <c r="G3" s="250"/>
      <c r="H3" s="250"/>
      <c r="I3" s="250"/>
      <c r="J3" s="251"/>
      <c r="K3" s="83"/>
      <c r="L3" s="83"/>
      <c r="M3" s="83"/>
      <c r="N3" s="252" t="s">
        <v>146</v>
      </c>
      <c r="O3" s="255" t="s">
        <v>147</v>
      </c>
      <c r="P3" s="255"/>
      <c r="Q3" s="255"/>
      <c r="R3" s="255"/>
      <c r="S3" s="255"/>
    </row>
    <row r="4" spans="1:19" ht="22.5" customHeight="1">
      <c r="A4" s="244"/>
      <c r="B4" s="246"/>
      <c r="C4" s="247"/>
      <c r="D4" s="248"/>
      <c r="E4" s="256" t="s">
        <v>148</v>
      </c>
      <c r="F4" s="258" t="s">
        <v>33</v>
      </c>
      <c r="G4" s="260" t="s">
        <v>149</v>
      </c>
      <c r="H4" s="253" t="s">
        <v>150</v>
      </c>
      <c r="I4" s="260" t="s">
        <v>106</v>
      </c>
      <c r="J4" s="253" t="s">
        <v>107</v>
      </c>
      <c r="K4" s="85" t="s">
        <v>124</v>
      </c>
      <c r="L4" s="206" t="s">
        <v>123</v>
      </c>
      <c r="M4" s="90" t="s">
        <v>63</v>
      </c>
      <c r="N4" s="253"/>
      <c r="O4" s="262" t="s">
        <v>153</v>
      </c>
      <c r="P4" s="260" t="s">
        <v>49</v>
      </c>
      <c r="Q4" s="264" t="s">
        <v>48</v>
      </c>
      <c r="R4" s="91" t="s">
        <v>64</v>
      </c>
      <c r="S4" s="92" t="s">
        <v>63</v>
      </c>
    </row>
    <row r="5" spans="1:19" ht="67.5" customHeight="1">
      <c r="A5" s="245"/>
      <c r="B5" s="246"/>
      <c r="C5" s="247"/>
      <c r="D5" s="248"/>
      <c r="E5" s="257"/>
      <c r="F5" s="259"/>
      <c r="G5" s="261"/>
      <c r="H5" s="254"/>
      <c r="I5" s="261"/>
      <c r="J5" s="254"/>
      <c r="K5" s="265" t="s">
        <v>151</v>
      </c>
      <c r="L5" s="266"/>
      <c r="M5" s="267"/>
      <c r="N5" s="254"/>
      <c r="O5" s="263"/>
      <c r="P5" s="261"/>
      <c r="Q5" s="264"/>
      <c r="R5" s="265" t="s">
        <v>104</v>
      </c>
      <c r="S5" s="267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957071.4500000001</v>
      </c>
      <c r="E8" s="151">
        <f>E9+E15+E18+E19+E20+E37+E17</f>
        <v>795675.9299999999</v>
      </c>
      <c r="F8" s="151">
        <f>F9+F15+F18+F19+F20+F37+F17</f>
        <v>797618.76</v>
      </c>
      <c r="G8" s="151">
        <f aca="true" t="shared" si="0" ref="G8:G37">F8-E8</f>
        <v>1942.8300000000745</v>
      </c>
      <c r="H8" s="152">
        <f>F8/E8*100</f>
        <v>100.244173529291</v>
      </c>
      <c r="I8" s="153">
        <f>F8-D8</f>
        <v>-159452.69000000006</v>
      </c>
      <c r="J8" s="153">
        <f>F8/D8*100</f>
        <v>83.33952078499468</v>
      </c>
      <c r="K8" s="151">
        <v>542586.23</v>
      </c>
      <c r="L8" s="151">
        <f aca="true" t="shared" si="1" ref="L8:L51">F8-K8</f>
        <v>255032.53000000003</v>
      </c>
      <c r="M8" s="207">
        <f aca="true" t="shared" si="2" ref="M8:M28">F8/K8</f>
        <v>1.4700313349271692</v>
      </c>
      <c r="N8" s="151">
        <f>N9+N15+N18+N19+N20+N17</f>
        <v>89825.12</v>
      </c>
      <c r="O8" s="151">
        <f>O9+O15+O18+O19+O20+O17</f>
        <v>89580.09000000001</v>
      </c>
      <c r="P8" s="151">
        <f>O8-N8</f>
        <v>-245.02999999998428</v>
      </c>
      <c r="Q8" s="151">
        <f>O8/N8*100</f>
        <v>99.72721439169801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80</v>
      </c>
      <c r="C9" s="43">
        <v>11010000</v>
      </c>
      <c r="D9" s="150">
        <v>530589</v>
      </c>
      <c r="E9" s="150">
        <v>429123.67</v>
      </c>
      <c r="F9" s="156">
        <v>431282.79</v>
      </c>
      <c r="G9" s="150">
        <f t="shared" si="0"/>
        <v>2159.1199999999953</v>
      </c>
      <c r="H9" s="157">
        <f>F9/E9*100</f>
        <v>100.50314633075355</v>
      </c>
      <c r="I9" s="158">
        <f>F9-D9</f>
        <v>-99306.21000000002</v>
      </c>
      <c r="J9" s="158">
        <f>F9/D9*100</f>
        <v>81.28377897016334</v>
      </c>
      <c r="K9" s="232">
        <v>296275.33</v>
      </c>
      <c r="L9" s="159">
        <f t="shared" si="1"/>
        <v>135007.45999999996</v>
      </c>
      <c r="M9" s="208">
        <f t="shared" si="2"/>
        <v>1.4556824221577949</v>
      </c>
      <c r="N9" s="157">
        <f>E9-вересень!E9</f>
        <v>50045</v>
      </c>
      <c r="O9" s="160">
        <f>F9-вересень!F9</f>
        <v>45956.380000000005</v>
      </c>
      <c r="P9" s="161">
        <f>O9-N9</f>
        <v>-4088.6199999999953</v>
      </c>
      <c r="Q9" s="158">
        <f>O9/N9*100</f>
        <v>91.83011289839146</v>
      </c>
      <c r="R9" s="100"/>
      <c r="S9" s="101"/>
      <c r="T9" s="147">
        <f>D9-E9</f>
        <v>101465.33000000002</v>
      </c>
    </row>
    <row r="10" spans="1:20" s="6" customFormat="1" ht="18" hidden="1">
      <c r="A10" s="8"/>
      <c r="B10" s="121" t="s">
        <v>91</v>
      </c>
      <c r="C10" s="102">
        <v>11010100</v>
      </c>
      <c r="D10" s="103">
        <v>485209</v>
      </c>
      <c r="E10" s="103">
        <v>386150.24</v>
      </c>
      <c r="F10" s="140">
        <v>379448.35</v>
      </c>
      <c r="G10" s="103">
        <f t="shared" si="0"/>
        <v>-6701.890000000014</v>
      </c>
      <c r="H10" s="30">
        <f aca="true" t="shared" si="3" ref="H10:H36">F10/E10*100</f>
        <v>98.26443458898278</v>
      </c>
      <c r="I10" s="104">
        <f aca="true" t="shared" si="4" ref="I10:I37">F10-D10</f>
        <v>-105760.65000000002</v>
      </c>
      <c r="J10" s="104">
        <f aca="true" t="shared" si="5" ref="J10:J36">F10/D10*100</f>
        <v>78.20307331479836</v>
      </c>
      <c r="K10" s="106">
        <v>262635.28</v>
      </c>
      <c r="L10" s="106">
        <f t="shared" si="1"/>
        <v>116813.06999999995</v>
      </c>
      <c r="M10" s="209">
        <f t="shared" si="2"/>
        <v>1.4447729566263905</v>
      </c>
      <c r="N10" s="105">
        <f>E10-вересень!E10</f>
        <v>47580</v>
      </c>
      <c r="O10" s="144">
        <f>F10-вересень!F10</f>
        <v>40179.29999999999</v>
      </c>
      <c r="P10" s="106">
        <f aca="true" t="shared" si="6" ref="P10:P37">O10-N10</f>
        <v>-7400.700000000012</v>
      </c>
      <c r="Q10" s="158">
        <f aca="true" t="shared" si="7" ref="Q10:Q16">O10/N10*100</f>
        <v>84.44577553593945</v>
      </c>
      <c r="R10" s="37"/>
      <c r="S10" s="94"/>
      <c r="T10" s="147">
        <f aca="true" t="shared" si="8" ref="T10:T73">D10-E10</f>
        <v>99058.76000000001</v>
      </c>
    </row>
    <row r="11" spans="1:20" s="6" customFormat="1" ht="18" hidden="1">
      <c r="A11" s="8"/>
      <c r="B11" s="121" t="s">
        <v>87</v>
      </c>
      <c r="C11" s="102">
        <v>11010200</v>
      </c>
      <c r="D11" s="103">
        <v>23000</v>
      </c>
      <c r="E11" s="103">
        <v>22814.94</v>
      </c>
      <c r="F11" s="140">
        <v>32764.1</v>
      </c>
      <c r="G11" s="103">
        <f t="shared" si="0"/>
        <v>9949.16</v>
      </c>
      <c r="H11" s="30">
        <f t="shared" si="3"/>
        <v>143.60809189066464</v>
      </c>
      <c r="I11" s="104">
        <f t="shared" si="4"/>
        <v>9764.099999999999</v>
      </c>
      <c r="J11" s="104">
        <f t="shared" si="5"/>
        <v>142.45260869565217</v>
      </c>
      <c r="K11" s="106">
        <v>15809.05</v>
      </c>
      <c r="L11" s="106">
        <f t="shared" si="1"/>
        <v>16955.05</v>
      </c>
      <c r="M11" s="209">
        <f t="shared" si="2"/>
        <v>2.0724901243275213</v>
      </c>
      <c r="N11" s="105">
        <f>E11-вересень!E11</f>
        <v>1300</v>
      </c>
      <c r="O11" s="144">
        <f>F11-вересень!F11</f>
        <v>4266.629999999997</v>
      </c>
      <c r="P11" s="106">
        <f t="shared" si="6"/>
        <v>2966.6299999999974</v>
      </c>
      <c r="Q11" s="158">
        <f t="shared" si="7"/>
        <v>328.2023076923075</v>
      </c>
      <c r="R11" s="37"/>
      <c r="S11" s="94"/>
      <c r="T11" s="147">
        <f t="shared" si="8"/>
        <v>185.0600000000013</v>
      </c>
    </row>
    <row r="12" spans="1:20" s="6" customFormat="1" ht="18" hidden="1">
      <c r="A12" s="8"/>
      <c r="B12" s="121" t="s">
        <v>90</v>
      </c>
      <c r="C12" s="102">
        <v>11010400</v>
      </c>
      <c r="D12" s="103">
        <v>6500</v>
      </c>
      <c r="E12" s="103">
        <v>6380.61</v>
      </c>
      <c r="F12" s="140">
        <v>7976.57</v>
      </c>
      <c r="G12" s="103">
        <f t="shared" si="0"/>
        <v>1595.96</v>
      </c>
      <c r="H12" s="30">
        <f t="shared" si="3"/>
        <v>125.01265552980045</v>
      </c>
      <c r="I12" s="104">
        <f t="shared" si="4"/>
        <v>1476.5699999999997</v>
      </c>
      <c r="J12" s="104">
        <f t="shared" si="5"/>
        <v>122.71646153846154</v>
      </c>
      <c r="K12" s="106">
        <v>4169.14</v>
      </c>
      <c r="L12" s="106">
        <f t="shared" si="1"/>
        <v>3807.4299999999994</v>
      </c>
      <c r="M12" s="209">
        <f t="shared" si="2"/>
        <v>1.9132411000829905</v>
      </c>
      <c r="N12" s="105">
        <f>E12-вересень!E12</f>
        <v>500</v>
      </c>
      <c r="O12" s="144">
        <f>F12-вересень!F12</f>
        <v>566.8499999999995</v>
      </c>
      <c r="P12" s="106">
        <f t="shared" si="6"/>
        <v>66.84999999999945</v>
      </c>
      <c r="Q12" s="158">
        <f t="shared" si="7"/>
        <v>113.36999999999988</v>
      </c>
      <c r="R12" s="37"/>
      <c r="S12" s="94"/>
      <c r="T12" s="147">
        <f t="shared" si="8"/>
        <v>119.39000000000033</v>
      </c>
    </row>
    <row r="13" spans="1:20" s="6" customFormat="1" ht="18" hidden="1">
      <c r="A13" s="8"/>
      <c r="B13" s="121" t="s">
        <v>88</v>
      </c>
      <c r="C13" s="102">
        <v>11010500</v>
      </c>
      <c r="D13" s="103">
        <v>12400</v>
      </c>
      <c r="E13" s="103">
        <v>10314.84</v>
      </c>
      <c r="F13" s="140">
        <v>8349.79</v>
      </c>
      <c r="G13" s="103">
        <f t="shared" si="0"/>
        <v>-1965.0499999999993</v>
      </c>
      <c r="H13" s="30">
        <f t="shared" si="3"/>
        <v>80.94929247569522</v>
      </c>
      <c r="I13" s="104">
        <f t="shared" si="4"/>
        <v>-4050.209999999999</v>
      </c>
      <c r="J13" s="104">
        <f t="shared" si="5"/>
        <v>67.33701612903226</v>
      </c>
      <c r="K13" s="106">
        <v>6098.87</v>
      </c>
      <c r="L13" s="106">
        <f t="shared" si="1"/>
        <v>2250.920000000001</v>
      </c>
      <c r="M13" s="209">
        <f t="shared" si="2"/>
        <v>1.3690716476986722</v>
      </c>
      <c r="N13" s="105">
        <f>E13-вересень!E13</f>
        <v>650</v>
      </c>
      <c r="O13" s="144">
        <f>F13-вересень!F13</f>
        <v>838.5400000000009</v>
      </c>
      <c r="P13" s="106">
        <f t="shared" si="6"/>
        <v>188.54000000000087</v>
      </c>
      <c r="Q13" s="158">
        <f t="shared" si="7"/>
        <v>129.00615384615398</v>
      </c>
      <c r="R13" s="37"/>
      <c r="S13" s="94"/>
      <c r="T13" s="147">
        <f t="shared" si="8"/>
        <v>2085.16</v>
      </c>
    </row>
    <row r="14" spans="1:22" s="6" customFormat="1" ht="18" hidden="1">
      <c r="A14" s="8"/>
      <c r="B14" s="121" t="s">
        <v>89</v>
      </c>
      <c r="C14" s="102">
        <v>11010900</v>
      </c>
      <c r="D14" s="103">
        <v>3480</v>
      </c>
      <c r="E14" s="103">
        <v>3463.04</v>
      </c>
      <c r="F14" s="140">
        <v>2743.99</v>
      </c>
      <c r="G14" s="103">
        <f t="shared" si="0"/>
        <v>-719.0500000000002</v>
      </c>
      <c r="H14" s="30">
        <f t="shared" si="3"/>
        <v>79.23645121049712</v>
      </c>
      <c r="I14" s="104">
        <f t="shared" si="4"/>
        <v>-736.0100000000002</v>
      </c>
      <c r="J14" s="104">
        <f t="shared" si="5"/>
        <v>78.85028735632183</v>
      </c>
      <c r="K14" s="106">
        <v>7562.97</v>
      </c>
      <c r="L14" s="106">
        <f t="shared" si="1"/>
        <v>-4818.9800000000005</v>
      </c>
      <c r="M14" s="209">
        <f t="shared" si="2"/>
        <v>0.3628191041350157</v>
      </c>
      <c r="N14" s="105">
        <f>E14-вересень!E14</f>
        <v>15</v>
      </c>
      <c r="O14" s="144">
        <f>F14-вересень!F14</f>
        <v>105.07999999999993</v>
      </c>
      <c r="P14" s="106">
        <f t="shared" si="6"/>
        <v>90.07999999999993</v>
      </c>
      <c r="Q14" s="158">
        <f t="shared" si="7"/>
        <v>700.5333333333328</v>
      </c>
      <c r="R14" s="37"/>
      <c r="S14" s="94"/>
      <c r="T14" s="147">
        <f t="shared" si="8"/>
        <v>16.960000000000036</v>
      </c>
      <c r="U14" s="229">
        <v>2880</v>
      </c>
      <c r="V14" s="147">
        <f>U14-T14</f>
        <v>2863.04</v>
      </c>
    </row>
    <row r="15" spans="1:20" s="6" customFormat="1" ht="30.75">
      <c r="A15" s="8"/>
      <c r="B15" s="12" t="s">
        <v>11</v>
      </c>
      <c r="C15" s="43">
        <v>11020200</v>
      </c>
      <c r="D15" s="150">
        <v>500</v>
      </c>
      <c r="E15" s="150">
        <v>380</v>
      </c>
      <c r="F15" s="156">
        <v>386.82</v>
      </c>
      <c r="G15" s="150">
        <f t="shared" si="0"/>
        <v>6.819999999999993</v>
      </c>
      <c r="H15" s="157">
        <f>F15/E15*100</f>
        <v>101.79473684210527</v>
      </c>
      <c r="I15" s="158">
        <f t="shared" si="4"/>
        <v>-113.18</v>
      </c>
      <c r="J15" s="158">
        <f t="shared" si="5"/>
        <v>77.364</v>
      </c>
      <c r="K15" s="161">
        <v>-590.87</v>
      </c>
      <c r="L15" s="161">
        <f t="shared" si="1"/>
        <v>977.69</v>
      </c>
      <c r="M15" s="210">
        <f t="shared" si="2"/>
        <v>-0.6546617699324725</v>
      </c>
      <c r="N15" s="157">
        <f>E15-вересень!E15</f>
        <v>10</v>
      </c>
      <c r="O15" s="160">
        <f>F15-вересень!F15</f>
        <v>0</v>
      </c>
      <c r="P15" s="161">
        <f t="shared" si="6"/>
        <v>-10</v>
      </c>
      <c r="Q15" s="158">
        <f t="shared" si="7"/>
        <v>0</v>
      </c>
      <c r="R15" s="37"/>
      <c r="S15" s="94"/>
      <c r="T15" s="147">
        <f t="shared" si="8"/>
        <v>120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30" t="e">
        <f t="shared" si="3"/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10">
        <f t="shared" si="2"/>
        <v>0</v>
      </c>
      <c r="N16" s="157">
        <f>E16-вересень!E16</f>
        <v>0</v>
      </c>
      <c r="O16" s="160">
        <f>F16-вересень!F16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9">
        <f>O16/358.79</f>
        <v>0</v>
      </c>
      <c r="T16" s="147">
        <f t="shared" si="8"/>
        <v>0</v>
      </c>
    </row>
    <row r="17" spans="1:20" s="6" customFormat="1" ht="30.75">
      <c r="A17" s="8"/>
      <c r="B17" s="44" t="s">
        <v>142</v>
      </c>
      <c r="C17" s="120">
        <v>13010200</v>
      </c>
      <c r="D17" s="162">
        <v>0</v>
      </c>
      <c r="E17" s="162">
        <v>0</v>
      </c>
      <c r="F17" s="163">
        <v>0.17</v>
      </c>
      <c r="G17" s="162">
        <f t="shared" si="0"/>
        <v>0.17</v>
      </c>
      <c r="H17" s="164"/>
      <c r="I17" s="165">
        <f t="shared" si="4"/>
        <v>0.17</v>
      </c>
      <c r="J17" s="165"/>
      <c r="K17" s="167">
        <v>0.14</v>
      </c>
      <c r="L17" s="161">
        <f t="shared" si="1"/>
        <v>0.03</v>
      </c>
      <c r="M17" s="210">
        <f t="shared" si="2"/>
        <v>1.2142857142857142</v>
      </c>
      <c r="N17" s="157">
        <f>E17-вересень!E17</f>
        <v>0</v>
      </c>
      <c r="O17" s="160">
        <f>F17-вересень!F17</f>
        <v>0</v>
      </c>
      <c r="P17" s="167">
        <f t="shared" si="6"/>
        <v>0</v>
      </c>
      <c r="Q17" s="158"/>
      <c r="R17" s="104"/>
      <c r="S17" s="109"/>
      <c r="T17" s="147">
        <f t="shared" si="8"/>
        <v>0</v>
      </c>
    </row>
    <row r="18" spans="1:20" s="6" customFormat="1" ht="30.75">
      <c r="A18" s="8"/>
      <c r="B18" s="13" t="s">
        <v>143</v>
      </c>
      <c r="C18" s="43">
        <v>13030200</v>
      </c>
      <c r="D18" s="150">
        <v>105.8</v>
      </c>
      <c r="E18" s="150">
        <v>105.8</v>
      </c>
      <c r="F18" s="156">
        <v>105.8</v>
      </c>
      <c r="G18" s="150">
        <f t="shared" si="0"/>
        <v>0</v>
      </c>
      <c r="H18" s="157">
        <f t="shared" si="3"/>
        <v>100</v>
      </c>
      <c r="I18" s="158">
        <f t="shared" si="4"/>
        <v>0</v>
      </c>
      <c r="J18" s="158">
        <f t="shared" si="5"/>
        <v>100</v>
      </c>
      <c r="K18" s="161">
        <v>15.8</v>
      </c>
      <c r="L18" s="161">
        <f t="shared" si="1"/>
        <v>90</v>
      </c>
      <c r="M18" s="210">
        <f t="shared" si="2"/>
        <v>6.696202531645569</v>
      </c>
      <c r="N18" s="157">
        <f>E18-вересень!E18</f>
        <v>0</v>
      </c>
      <c r="O18" s="160">
        <f>F18-вересень!F18</f>
        <v>0</v>
      </c>
      <c r="P18" s="161">
        <f t="shared" si="6"/>
        <v>0</v>
      </c>
      <c r="Q18" s="158"/>
      <c r="R18" s="37"/>
      <c r="S18" s="94"/>
      <c r="T18" s="147">
        <f t="shared" si="8"/>
        <v>0</v>
      </c>
    </row>
    <row r="19" spans="1:21" s="6" customFormat="1" ht="46.5">
      <c r="A19" s="8"/>
      <c r="B19" s="44" t="s">
        <v>72</v>
      </c>
      <c r="C19" s="43">
        <v>14040000</v>
      </c>
      <c r="D19" s="150">
        <v>109900</v>
      </c>
      <c r="E19" s="150">
        <v>90960.4</v>
      </c>
      <c r="F19" s="156">
        <v>83630.43</v>
      </c>
      <c r="G19" s="150">
        <f t="shared" si="0"/>
        <v>-7329.970000000001</v>
      </c>
      <c r="H19" s="157">
        <f t="shared" si="3"/>
        <v>91.94158117158675</v>
      </c>
      <c r="I19" s="158">
        <f t="shared" si="4"/>
        <v>-26269.570000000007</v>
      </c>
      <c r="J19" s="158">
        <f t="shared" si="5"/>
        <v>76.09684258416742</v>
      </c>
      <c r="K19" s="169">
        <v>58485.05</v>
      </c>
      <c r="L19" s="161">
        <f t="shared" si="1"/>
        <v>25145.37999999999</v>
      </c>
      <c r="M19" s="216">
        <f t="shared" si="2"/>
        <v>1.429945430498905</v>
      </c>
      <c r="N19" s="157">
        <f>E19-вересень!E19</f>
        <v>10900</v>
      </c>
      <c r="O19" s="160">
        <f>F19-вересень!F19</f>
        <v>9277.62999999999</v>
      </c>
      <c r="P19" s="161">
        <f t="shared" si="6"/>
        <v>-1622.37000000001</v>
      </c>
      <c r="Q19" s="158">
        <f aca="true" t="shared" si="9" ref="Q19:Q24">O19/N19*100</f>
        <v>85.11587155963294</v>
      </c>
      <c r="R19" s="107"/>
      <c r="S19" s="108"/>
      <c r="T19" s="147">
        <f t="shared" si="8"/>
        <v>18939.600000000006</v>
      </c>
      <c r="U19" s="6">
        <v>3348</v>
      </c>
    </row>
    <row r="20" spans="1:20" s="6" customFormat="1" ht="18">
      <c r="A20" s="8"/>
      <c r="B20" s="117" t="s">
        <v>74</v>
      </c>
      <c r="C20" s="43">
        <v>18000000</v>
      </c>
      <c r="D20" s="150">
        <f>D21+D30+D32+D29</f>
        <v>315976.65</v>
      </c>
      <c r="E20" s="150">
        <f>E21+E30+E32+E29</f>
        <v>275106.06</v>
      </c>
      <c r="F20" s="228">
        <f>F21+F29+F30+F31+F32</f>
        <v>282212.75</v>
      </c>
      <c r="G20" s="150">
        <f t="shared" si="0"/>
        <v>7106.690000000002</v>
      </c>
      <c r="H20" s="157">
        <f t="shared" si="3"/>
        <v>102.58325461823705</v>
      </c>
      <c r="I20" s="158">
        <f t="shared" si="4"/>
        <v>-33763.90000000002</v>
      </c>
      <c r="J20" s="158">
        <f t="shared" si="5"/>
        <v>89.31443193666367</v>
      </c>
      <c r="K20" s="158">
        <v>182815.03</v>
      </c>
      <c r="L20" s="161">
        <f t="shared" si="1"/>
        <v>99397.72</v>
      </c>
      <c r="M20" s="211">
        <f t="shared" si="2"/>
        <v>1.5437064994054372</v>
      </c>
      <c r="N20" s="157">
        <f>N21+N30+N31+N32</f>
        <v>28870.120000000003</v>
      </c>
      <c r="O20" s="160">
        <f>F20-вересень!F20</f>
        <v>34346.080000000016</v>
      </c>
      <c r="P20" s="161">
        <f t="shared" si="6"/>
        <v>5475.960000000014</v>
      </c>
      <c r="Q20" s="158">
        <f t="shared" si="9"/>
        <v>118.96756923767553</v>
      </c>
      <c r="R20" s="107"/>
      <c r="S20" s="108"/>
      <c r="T20" s="147">
        <f t="shared" si="8"/>
        <v>40870.590000000026</v>
      </c>
    </row>
    <row r="21" spans="1:20" s="6" customFormat="1" ht="18">
      <c r="A21" s="8"/>
      <c r="B21" s="44" t="s">
        <v>82</v>
      </c>
      <c r="C21" s="114">
        <v>18010000</v>
      </c>
      <c r="D21" s="150">
        <f>D22+D25+D26</f>
        <v>174899.65</v>
      </c>
      <c r="E21" s="150">
        <f>E22+E25+E26</f>
        <v>149443.41</v>
      </c>
      <c r="F21" s="170">
        <f>F22+F25+F26</f>
        <v>153656.32</v>
      </c>
      <c r="G21" s="150">
        <f t="shared" si="0"/>
        <v>4212.9100000000035</v>
      </c>
      <c r="H21" s="157">
        <f t="shared" si="3"/>
        <v>102.81906709703694</v>
      </c>
      <c r="I21" s="158">
        <f t="shared" si="4"/>
        <v>-21243.329999999987</v>
      </c>
      <c r="J21" s="158">
        <f t="shared" si="5"/>
        <v>87.85398941621668</v>
      </c>
      <c r="K21" s="158">
        <v>100774.79</v>
      </c>
      <c r="L21" s="161">
        <f t="shared" si="1"/>
        <v>52881.53000000001</v>
      </c>
      <c r="M21" s="211">
        <f t="shared" si="2"/>
        <v>1.5247495926312524</v>
      </c>
      <c r="N21" s="157">
        <f>N22+N25+N26</f>
        <v>15362.620000000003</v>
      </c>
      <c r="O21" s="160">
        <f>F21-вересень!F21</f>
        <v>17840.51000000001</v>
      </c>
      <c r="P21" s="161">
        <f t="shared" si="6"/>
        <v>2477.8900000000067</v>
      </c>
      <c r="Q21" s="158">
        <f t="shared" si="9"/>
        <v>116.12934512472486</v>
      </c>
      <c r="R21" s="107"/>
      <c r="S21" s="108"/>
      <c r="T21" s="147">
        <f t="shared" si="8"/>
        <v>25456.23999999999</v>
      </c>
    </row>
    <row r="22" spans="1:21" s="6" customFormat="1" ht="18">
      <c r="A22" s="8"/>
      <c r="B22" s="50" t="s">
        <v>75</v>
      </c>
      <c r="C22" s="123"/>
      <c r="D22" s="171">
        <v>18500</v>
      </c>
      <c r="E22" s="171">
        <v>17324.4</v>
      </c>
      <c r="F22" s="172">
        <v>20221.39</v>
      </c>
      <c r="G22" s="171">
        <f t="shared" si="0"/>
        <v>2896.989999999998</v>
      </c>
      <c r="H22" s="173">
        <f t="shared" si="3"/>
        <v>116.72202211909213</v>
      </c>
      <c r="I22" s="174">
        <f t="shared" si="4"/>
        <v>1721.3899999999994</v>
      </c>
      <c r="J22" s="174">
        <f t="shared" si="5"/>
        <v>109.3048108108108</v>
      </c>
      <c r="K22" s="175">
        <v>12486.13</v>
      </c>
      <c r="L22" s="166">
        <f t="shared" si="1"/>
        <v>7735.26</v>
      </c>
      <c r="M22" s="219">
        <f t="shared" si="2"/>
        <v>1.619508206305717</v>
      </c>
      <c r="N22" s="173">
        <f>E22-вересень!E22</f>
        <v>2199.920000000002</v>
      </c>
      <c r="O22" s="176">
        <f>F22-вересень!F22</f>
        <v>4462.57</v>
      </c>
      <c r="P22" s="177">
        <f t="shared" si="6"/>
        <v>2262.649999999998</v>
      </c>
      <c r="Q22" s="174">
        <f t="shared" si="9"/>
        <v>202.8514673260844</v>
      </c>
      <c r="R22" s="107"/>
      <c r="S22" s="108"/>
      <c r="T22" s="147">
        <f t="shared" si="8"/>
        <v>1175.5999999999985</v>
      </c>
      <c r="U22" s="147"/>
    </row>
    <row r="23" spans="1:21" s="6" customFormat="1" ht="18" hidden="1">
      <c r="A23" s="8"/>
      <c r="B23" s="196" t="s">
        <v>112</v>
      </c>
      <c r="C23" s="197"/>
      <c r="D23" s="200">
        <v>2000</v>
      </c>
      <c r="E23" s="200">
        <v>1224.4</v>
      </c>
      <c r="F23" s="163">
        <v>795.54</v>
      </c>
      <c r="G23" s="200">
        <f t="shared" si="0"/>
        <v>-428.8600000000001</v>
      </c>
      <c r="H23" s="201">
        <f t="shared" si="3"/>
        <v>64.97386475008167</v>
      </c>
      <c r="I23" s="202">
        <f t="shared" si="4"/>
        <v>-1204.46</v>
      </c>
      <c r="J23" s="202">
        <f t="shared" si="5"/>
        <v>39.776999999999994</v>
      </c>
      <c r="K23" s="218">
        <v>666.58</v>
      </c>
      <c r="L23" s="218">
        <f t="shared" si="1"/>
        <v>128.95999999999992</v>
      </c>
      <c r="M23" s="220">
        <f t="shared" si="2"/>
        <v>1.1934651504695608</v>
      </c>
      <c r="N23" s="198">
        <f>E23-вересень!E23</f>
        <v>200</v>
      </c>
      <c r="O23" s="198">
        <f>F23-вересень!F23</f>
        <v>126.68999999999994</v>
      </c>
      <c r="P23" s="199">
        <f t="shared" si="6"/>
        <v>-73.31000000000006</v>
      </c>
      <c r="Q23" s="199">
        <f t="shared" si="9"/>
        <v>63.34499999999997</v>
      </c>
      <c r="R23" s="107"/>
      <c r="S23" s="108"/>
      <c r="T23" s="147">
        <f t="shared" si="8"/>
        <v>775.5999999999999</v>
      </c>
      <c r="U23" s="147"/>
    </row>
    <row r="24" spans="1:21" s="6" customFormat="1" ht="18" hidden="1">
      <c r="A24" s="8"/>
      <c r="B24" s="196" t="s">
        <v>113</v>
      </c>
      <c r="C24" s="197"/>
      <c r="D24" s="200">
        <v>16500</v>
      </c>
      <c r="E24" s="200">
        <v>16100</v>
      </c>
      <c r="F24" s="163">
        <v>19425.85</v>
      </c>
      <c r="G24" s="200">
        <f t="shared" si="0"/>
        <v>3325.8499999999985</v>
      </c>
      <c r="H24" s="201">
        <f t="shared" si="3"/>
        <v>120.65745341614907</v>
      </c>
      <c r="I24" s="202">
        <f t="shared" si="4"/>
        <v>2925.8499999999985</v>
      </c>
      <c r="J24" s="202">
        <f t="shared" si="5"/>
        <v>117.73242424242423</v>
      </c>
      <c r="K24" s="218">
        <v>11819.55</v>
      </c>
      <c r="L24" s="218">
        <f t="shared" si="1"/>
        <v>7606.299999999999</v>
      </c>
      <c r="M24" s="220">
        <f t="shared" si="2"/>
        <v>1.6435354983903787</v>
      </c>
      <c r="N24" s="198">
        <f>E24-вересень!E24</f>
        <v>1999.92</v>
      </c>
      <c r="O24" s="198">
        <f>F24-вересень!F24</f>
        <v>4335.879999999999</v>
      </c>
      <c r="P24" s="199">
        <f t="shared" si="6"/>
        <v>2335.959999999999</v>
      </c>
      <c r="Q24" s="199">
        <f t="shared" si="9"/>
        <v>216.80267210688422</v>
      </c>
      <c r="R24" s="107"/>
      <c r="S24" s="108"/>
      <c r="T24" s="147">
        <f t="shared" si="8"/>
        <v>400</v>
      </c>
      <c r="U24" s="147"/>
    </row>
    <row r="25" spans="1:20" s="6" customFormat="1" ht="18">
      <c r="A25" s="8"/>
      <c r="B25" s="50" t="s">
        <v>76</v>
      </c>
      <c r="C25" s="123"/>
      <c r="D25" s="171">
        <v>1000</v>
      </c>
      <c r="E25" s="171">
        <v>980.04</v>
      </c>
      <c r="F25" s="172">
        <v>810.29</v>
      </c>
      <c r="G25" s="171">
        <f t="shared" si="0"/>
        <v>-169.75</v>
      </c>
      <c r="H25" s="173">
        <f t="shared" si="3"/>
        <v>82.67927839680013</v>
      </c>
      <c r="I25" s="174">
        <f t="shared" si="4"/>
        <v>-189.71000000000004</v>
      </c>
      <c r="J25" s="174">
        <f t="shared" si="5"/>
        <v>81.029</v>
      </c>
      <c r="K25" s="174">
        <v>3493.96</v>
      </c>
      <c r="L25" s="174">
        <f t="shared" si="1"/>
        <v>-2683.67</v>
      </c>
      <c r="M25" s="214">
        <f t="shared" si="2"/>
        <v>0.2319116418047144</v>
      </c>
      <c r="N25" s="173">
        <f>E25-вересень!E25</f>
        <v>52.69999999999993</v>
      </c>
      <c r="O25" s="176">
        <f>F25-вересень!F25</f>
        <v>32.94999999999993</v>
      </c>
      <c r="P25" s="177">
        <f t="shared" si="6"/>
        <v>-19.75</v>
      </c>
      <c r="Q25" s="174"/>
      <c r="R25" s="107"/>
      <c r="S25" s="108"/>
      <c r="T25" s="147">
        <f t="shared" si="8"/>
        <v>19.960000000000036</v>
      </c>
    </row>
    <row r="26" spans="1:20" s="6" customFormat="1" ht="18">
      <c r="A26" s="8"/>
      <c r="B26" s="50" t="s">
        <v>77</v>
      </c>
      <c r="C26" s="123"/>
      <c r="D26" s="171">
        <v>155399.65</v>
      </c>
      <c r="E26" s="171">
        <v>131138.97</v>
      </c>
      <c r="F26" s="172">
        <v>132624.64</v>
      </c>
      <c r="G26" s="171">
        <f t="shared" si="0"/>
        <v>1485.6700000000128</v>
      </c>
      <c r="H26" s="173">
        <f t="shared" si="3"/>
        <v>101.13289741409439</v>
      </c>
      <c r="I26" s="174">
        <f t="shared" si="4"/>
        <v>-22775.00999999998</v>
      </c>
      <c r="J26" s="174">
        <f t="shared" si="5"/>
        <v>85.34423340078308</v>
      </c>
      <c r="K26" s="175">
        <v>84794.7</v>
      </c>
      <c r="L26" s="175">
        <f t="shared" si="1"/>
        <v>47829.94000000002</v>
      </c>
      <c r="M26" s="213">
        <f t="shared" si="2"/>
        <v>1.5640675655436014</v>
      </c>
      <c r="N26" s="173">
        <f>E26-вересень!E26</f>
        <v>13110</v>
      </c>
      <c r="O26" s="176">
        <f>F26-вересень!F26</f>
        <v>13344.99000000002</v>
      </c>
      <c r="P26" s="177">
        <f t="shared" si="6"/>
        <v>234.9900000000198</v>
      </c>
      <c r="Q26" s="174">
        <f>O26/N26*100</f>
        <v>101.79244851258595</v>
      </c>
      <c r="R26" s="107"/>
      <c r="S26" s="108"/>
      <c r="T26" s="147">
        <f t="shared" si="8"/>
        <v>24260.679999999993</v>
      </c>
    </row>
    <row r="27" spans="1:20" s="6" customFormat="1" ht="18" hidden="1">
      <c r="A27" s="8"/>
      <c r="B27" s="196" t="s">
        <v>114</v>
      </c>
      <c r="C27" s="197"/>
      <c r="D27" s="200">
        <v>47367</v>
      </c>
      <c r="E27" s="200">
        <v>40401.8</v>
      </c>
      <c r="F27" s="163">
        <v>42006.28</v>
      </c>
      <c r="G27" s="200">
        <f t="shared" si="0"/>
        <v>1604.479999999996</v>
      </c>
      <c r="H27" s="201">
        <f t="shared" si="3"/>
        <v>103.97130820904019</v>
      </c>
      <c r="I27" s="202">
        <f t="shared" si="4"/>
        <v>-5360.720000000001</v>
      </c>
      <c r="J27" s="202">
        <f t="shared" si="5"/>
        <v>88.6825849219921</v>
      </c>
      <c r="K27" s="218">
        <v>22986.34</v>
      </c>
      <c r="L27" s="218">
        <f t="shared" si="1"/>
        <v>19019.94</v>
      </c>
      <c r="M27" s="220">
        <f t="shared" si="2"/>
        <v>1.827445343625823</v>
      </c>
      <c r="N27" s="198">
        <f>E27-вересень!E27</f>
        <v>3520</v>
      </c>
      <c r="O27" s="198">
        <f>F27-вересень!F27</f>
        <v>4010.159999999996</v>
      </c>
      <c r="P27" s="199">
        <f t="shared" si="6"/>
        <v>490.1599999999962</v>
      </c>
      <c r="Q27" s="199">
        <f>O27/N27*100</f>
        <v>113.9249999999999</v>
      </c>
      <c r="R27" s="107"/>
      <c r="S27" s="108"/>
      <c r="T27" s="147">
        <f t="shared" si="8"/>
        <v>6965.199999999997</v>
      </c>
    </row>
    <row r="28" spans="1:20" s="6" customFormat="1" ht="18" hidden="1">
      <c r="A28" s="8"/>
      <c r="B28" s="196" t="s">
        <v>115</v>
      </c>
      <c r="C28" s="197"/>
      <c r="D28" s="200">
        <v>108032.65</v>
      </c>
      <c r="E28" s="200">
        <v>90737.17</v>
      </c>
      <c r="F28" s="163">
        <v>90618.36</v>
      </c>
      <c r="G28" s="200">
        <f t="shared" si="0"/>
        <v>-118.80999999999767</v>
      </c>
      <c r="H28" s="201">
        <f t="shared" si="3"/>
        <v>99.86906137804387</v>
      </c>
      <c r="I28" s="202">
        <f t="shared" si="4"/>
        <v>-17414.289999999994</v>
      </c>
      <c r="J28" s="202">
        <f t="shared" si="5"/>
        <v>83.88053056182552</v>
      </c>
      <c r="K28" s="218">
        <v>61808.36</v>
      </c>
      <c r="L28" s="218">
        <f t="shared" si="1"/>
        <v>28810</v>
      </c>
      <c r="M28" s="220">
        <f t="shared" si="2"/>
        <v>1.4661181755995467</v>
      </c>
      <c r="N28" s="198">
        <f>E28-вересень!E28</f>
        <v>9590</v>
      </c>
      <c r="O28" s="198">
        <f>F28-вересень!F28</f>
        <v>9334.839999999997</v>
      </c>
      <c r="P28" s="199">
        <f t="shared" si="6"/>
        <v>-255.1600000000035</v>
      </c>
      <c r="Q28" s="199">
        <f>O28/N28*100</f>
        <v>97.33931178310736</v>
      </c>
      <c r="R28" s="107"/>
      <c r="S28" s="108"/>
      <c r="T28" s="147">
        <f t="shared" si="8"/>
        <v>17295.479999999996</v>
      </c>
    </row>
    <row r="29" spans="1:20" s="6" customFormat="1" ht="18">
      <c r="A29" s="8"/>
      <c r="B29" s="44" t="s">
        <v>125</v>
      </c>
      <c r="C29" s="227">
        <v>18020000</v>
      </c>
      <c r="D29" s="162">
        <v>0</v>
      </c>
      <c r="E29" s="162">
        <v>0</v>
      </c>
      <c r="F29" s="201">
        <v>0.15</v>
      </c>
      <c r="G29" s="150">
        <f t="shared" si="0"/>
        <v>0.15</v>
      </c>
      <c r="H29" s="157"/>
      <c r="I29" s="158">
        <f t="shared" si="4"/>
        <v>0.15</v>
      </c>
      <c r="J29" s="158"/>
      <c r="K29" s="167">
        <v>0</v>
      </c>
      <c r="L29" s="158">
        <f t="shared" si="1"/>
        <v>0.15</v>
      </c>
      <c r="M29" s="212"/>
      <c r="N29" s="157">
        <f>E29-вересень!E29</f>
        <v>0</v>
      </c>
      <c r="O29" s="160">
        <f>F29-вересень!F29</f>
        <v>0</v>
      </c>
      <c r="P29" s="161">
        <f t="shared" si="6"/>
        <v>0</v>
      </c>
      <c r="Q29" s="158"/>
      <c r="R29" s="107"/>
      <c r="S29" s="108"/>
      <c r="T29" s="147">
        <f t="shared" si="8"/>
        <v>0</v>
      </c>
    </row>
    <row r="30" spans="1:20" s="6" customFormat="1" ht="18">
      <c r="A30" s="8"/>
      <c r="B30" s="44" t="s">
        <v>83</v>
      </c>
      <c r="C30" s="114">
        <v>18030000</v>
      </c>
      <c r="D30" s="150">
        <v>77</v>
      </c>
      <c r="E30" s="150">
        <v>62.81</v>
      </c>
      <c r="F30" s="156">
        <v>96.18</v>
      </c>
      <c r="G30" s="150">
        <f t="shared" si="0"/>
        <v>33.370000000000005</v>
      </c>
      <c r="H30" s="157">
        <f t="shared" si="3"/>
        <v>153.1284827256806</v>
      </c>
      <c r="I30" s="158">
        <f t="shared" si="4"/>
        <v>19.180000000000007</v>
      </c>
      <c r="J30" s="158">
        <f t="shared" si="5"/>
        <v>124.90909090909092</v>
      </c>
      <c r="K30" s="158">
        <v>60.64</v>
      </c>
      <c r="L30" s="158">
        <f t="shared" si="1"/>
        <v>35.540000000000006</v>
      </c>
      <c r="M30" s="212">
        <f>F30/K30</f>
        <v>1.5860817941952507</v>
      </c>
      <c r="N30" s="157">
        <f>E30-вересень!E30</f>
        <v>7.5</v>
      </c>
      <c r="O30" s="160">
        <f>F30-вересень!F30</f>
        <v>8.230000000000004</v>
      </c>
      <c r="P30" s="161">
        <f t="shared" si="6"/>
        <v>0.730000000000004</v>
      </c>
      <c r="Q30" s="158">
        <f>O30/N30*100</f>
        <v>109.73333333333339</v>
      </c>
      <c r="R30" s="107"/>
      <c r="S30" s="108"/>
      <c r="T30" s="147">
        <f t="shared" si="8"/>
        <v>14.189999999999998</v>
      </c>
    </row>
    <row r="31" spans="1:20" s="6" customFormat="1" ht="49.5" customHeight="1">
      <c r="A31" s="8"/>
      <c r="B31" s="44" t="s">
        <v>84</v>
      </c>
      <c r="C31" s="114">
        <v>18040000</v>
      </c>
      <c r="D31" s="150"/>
      <c r="E31" s="150"/>
      <c r="F31" s="156">
        <v>-173.07</v>
      </c>
      <c r="G31" s="150">
        <f t="shared" si="0"/>
        <v>-173.07</v>
      </c>
      <c r="H31" s="157"/>
      <c r="I31" s="158">
        <f t="shared" si="4"/>
        <v>-173.07</v>
      </c>
      <c r="J31" s="158"/>
      <c r="K31" s="158">
        <v>-740.94</v>
      </c>
      <c r="L31" s="158">
        <f t="shared" si="1"/>
        <v>567.8700000000001</v>
      </c>
      <c r="M31" s="212">
        <f>F31/K31</f>
        <v>0.23358166653170295</v>
      </c>
      <c r="N31" s="157">
        <f>E31-вересень!E31</f>
        <v>0</v>
      </c>
      <c r="O31" s="160">
        <f>F31-вересень!F31</f>
        <v>-12.969999999999999</v>
      </c>
      <c r="P31" s="161">
        <f t="shared" si="6"/>
        <v>-12.969999999999999</v>
      </c>
      <c r="Q31" s="158"/>
      <c r="R31" s="107"/>
      <c r="S31" s="108"/>
      <c r="T31" s="147">
        <f t="shared" si="8"/>
        <v>0</v>
      </c>
    </row>
    <row r="32" spans="1:20" s="6" customFormat="1" ht="18">
      <c r="A32" s="8"/>
      <c r="B32" s="44" t="s">
        <v>85</v>
      </c>
      <c r="C32" s="114">
        <v>18050000</v>
      </c>
      <c r="D32" s="162">
        <f>118000+23000</f>
        <v>141000</v>
      </c>
      <c r="E32" s="162">
        <v>125599.84</v>
      </c>
      <c r="F32" s="163">
        <v>128633.17</v>
      </c>
      <c r="G32" s="162">
        <f t="shared" si="0"/>
        <v>3033.3300000000017</v>
      </c>
      <c r="H32" s="164">
        <f t="shared" si="3"/>
        <v>102.41507473257927</v>
      </c>
      <c r="I32" s="165">
        <f t="shared" si="4"/>
        <v>-12366.830000000002</v>
      </c>
      <c r="J32" s="165">
        <f t="shared" si="5"/>
        <v>91.22919858156028</v>
      </c>
      <c r="K32" s="178">
        <v>82720.54</v>
      </c>
      <c r="L32" s="178">
        <f>F32-K32</f>
        <v>45912.630000000005</v>
      </c>
      <c r="M32" s="231">
        <f>F32/K32</f>
        <v>1.5550330063125797</v>
      </c>
      <c r="N32" s="157">
        <f>E32-вересень!E32</f>
        <v>13500</v>
      </c>
      <c r="O32" s="160">
        <f>F32-вересень!F32</f>
        <v>16510.309999999998</v>
      </c>
      <c r="P32" s="167">
        <f t="shared" si="6"/>
        <v>3010.3099999999977</v>
      </c>
      <c r="Q32" s="165">
        <f>O32/N32*100</f>
        <v>122.29859259259257</v>
      </c>
      <c r="R32" s="107"/>
      <c r="S32" s="108"/>
      <c r="T32" s="147">
        <f t="shared" si="8"/>
        <v>15400.160000000003</v>
      </c>
    </row>
    <row r="33" spans="1:20" s="6" customFormat="1" ht="15" hidden="1">
      <c r="A33" s="8"/>
      <c r="B33" s="50" t="s">
        <v>92</v>
      </c>
      <c r="C33" s="102">
        <v>18050200</v>
      </c>
      <c r="D33" s="103">
        <v>0</v>
      </c>
      <c r="E33" s="103">
        <v>0</v>
      </c>
      <c r="F33" s="140">
        <v>0.23</v>
      </c>
      <c r="G33" s="103">
        <f t="shared" si="0"/>
        <v>0.23</v>
      </c>
      <c r="H33" s="105"/>
      <c r="I33" s="104">
        <f t="shared" si="4"/>
        <v>0.23</v>
      </c>
      <c r="J33" s="104"/>
      <c r="K33" s="127">
        <v>-1.17</v>
      </c>
      <c r="L33" s="127">
        <f t="shared" si="1"/>
        <v>1.4</v>
      </c>
      <c r="M33" s="221">
        <f aca="true" t="shared" si="10" ref="M33:M39">F33/K33</f>
        <v>-0.1965811965811966</v>
      </c>
      <c r="N33" s="105">
        <f>E33-вересень!E33</f>
        <v>0</v>
      </c>
      <c r="O33" s="144">
        <f>F33-вересень!F33</f>
        <v>0</v>
      </c>
      <c r="P33" s="106">
        <f t="shared" si="6"/>
        <v>0</v>
      </c>
      <c r="Q33" s="104"/>
      <c r="R33" s="107"/>
      <c r="S33" s="108"/>
      <c r="T33" s="147">
        <f t="shared" si="8"/>
        <v>0</v>
      </c>
    </row>
    <row r="34" spans="1:20" s="6" customFormat="1" ht="15" hidden="1">
      <c r="A34" s="8"/>
      <c r="B34" s="50" t="s">
        <v>93</v>
      </c>
      <c r="C34" s="102">
        <v>18050300</v>
      </c>
      <c r="D34" s="103">
        <f>28217+6000</f>
        <v>34217</v>
      </c>
      <c r="E34" s="103">
        <v>30662.97</v>
      </c>
      <c r="F34" s="140">
        <v>31576.04</v>
      </c>
      <c r="G34" s="103">
        <f t="shared" si="0"/>
        <v>913.0699999999997</v>
      </c>
      <c r="H34" s="105">
        <f t="shared" si="3"/>
        <v>102.97776112359631</v>
      </c>
      <c r="I34" s="104">
        <f t="shared" si="4"/>
        <v>-2640.959999999999</v>
      </c>
      <c r="J34" s="104">
        <f t="shared" si="5"/>
        <v>92.2817313031534</v>
      </c>
      <c r="K34" s="127">
        <v>19963.33</v>
      </c>
      <c r="L34" s="127">
        <f t="shared" si="1"/>
        <v>11612.71</v>
      </c>
      <c r="M34" s="221">
        <f t="shared" si="10"/>
        <v>1.5817020507099766</v>
      </c>
      <c r="N34" s="105">
        <f>E34-вересень!E34</f>
        <v>2300</v>
      </c>
      <c r="O34" s="144">
        <f>F34-вересень!F34</f>
        <v>3235.630000000001</v>
      </c>
      <c r="P34" s="106">
        <f t="shared" si="6"/>
        <v>935.630000000001</v>
      </c>
      <c r="Q34" s="104">
        <f>O34/N34*100</f>
        <v>140.67956521739134</v>
      </c>
      <c r="R34" s="107"/>
      <c r="S34" s="108"/>
      <c r="T34" s="147">
        <f t="shared" si="8"/>
        <v>3554.029999999999</v>
      </c>
    </row>
    <row r="35" spans="1:20" s="6" customFormat="1" ht="15" hidden="1">
      <c r="A35" s="8"/>
      <c r="B35" s="50" t="s">
        <v>94</v>
      </c>
      <c r="C35" s="102">
        <v>18050400</v>
      </c>
      <c r="D35" s="103">
        <f>89732+17000</f>
        <v>106732</v>
      </c>
      <c r="E35" s="103">
        <v>94920.08</v>
      </c>
      <c r="F35" s="140">
        <v>97003.82</v>
      </c>
      <c r="G35" s="103">
        <f t="shared" si="0"/>
        <v>2083.7400000000052</v>
      </c>
      <c r="H35" s="105">
        <f t="shared" si="3"/>
        <v>102.19525731541736</v>
      </c>
      <c r="I35" s="104">
        <f t="shared" si="4"/>
        <v>-9728.179999999993</v>
      </c>
      <c r="J35" s="104">
        <f t="shared" si="5"/>
        <v>90.88541393396545</v>
      </c>
      <c r="K35" s="127">
        <v>62729.49</v>
      </c>
      <c r="L35" s="127">
        <f t="shared" si="1"/>
        <v>34274.33000000001</v>
      </c>
      <c r="M35" s="221">
        <f t="shared" si="10"/>
        <v>1.5463830488658525</v>
      </c>
      <c r="N35" s="105">
        <f>E35-вересень!E35</f>
        <v>11200</v>
      </c>
      <c r="O35" s="144">
        <f>F35-вересень!F35</f>
        <v>13248.020000000004</v>
      </c>
      <c r="P35" s="106">
        <f t="shared" si="6"/>
        <v>2048.020000000004</v>
      </c>
      <c r="Q35" s="104">
        <f>O35/N35*100</f>
        <v>118.28589285714288</v>
      </c>
      <c r="R35" s="107"/>
      <c r="S35" s="108"/>
      <c r="T35" s="147">
        <f t="shared" si="8"/>
        <v>11811.919999999998</v>
      </c>
    </row>
    <row r="36" spans="1:20" s="6" customFormat="1" ht="15" hidden="1">
      <c r="A36" s="8"/>
      <c r="B36" s="50" t="s">
        <v>95</v>
      </c>
      <c r="C36" s="102">
        <v>18050500</v>
      </c>
      <c r="D36" s="103">
        <v>51</v>
      </c>
      <c r="E36" s="103">
        <v>16.79</v>
      </c>
      <c r="F36" s="140">
        <v>53.08</v>
      </c>
      <c r="G36" s="103">
        <f t="shared" si="0"/>
        <v>36.29</v>
      </c>
      <c r="H36" s="105">
        <f t="shared" si="3"/>
        <v>316.1405598570578</v>
      </c>
      <c r="I36" s="104">
        <f t="shared" si="4"/>
        <v>2.0799999999999983</v>
      </c>
      <c r="J36" s="104">
        <f t="shared" si="5"/>
        <v>104.07843137254902</v>
      </c>
      <c r="K36" s="127">
        <v>28.89</v>
      </c>
      <c r="L36" s="127">
        <f t="shared" si="1"/>
        <v>24.189999999999998</v>
      </c>
      <c r="M36" s="221">
        <f t="shared" si="10"/>
        <v>1.837313949463482</v>
      </c>
      <c r="N36" s="105">
        <f>E36-вересень!E36</f>
        <v>0</v>
      </c>
      <c r="O36" s="144">
        <f>F36-вересень!F36</f>
        <v>26.659999999999997</v>
      </c>
      <c r="P36" s="106">
        <f t="shared" si="6"/>
        <v>26.659999999999997</v>
      </c>
      <c r="Q36" s="104"/>
      <c r="R36" s="107"/>
      <c r="S36" s="108"/>
      <c r="T36" s="147">
        <f t="shared" si="8"/>
        <v>34.21</v>
      </c>
    </row>
    <row r="37" spans="1:20" s="6" customFormat="1" ht="15" customHeight="1" hidden="1">
      <c r="A37" s="8"/>
      <c r="B37" s="44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 t="shared" si="0"/>
        <v>0</v>
      </c>
      <c r="H37" s="30"/>
      <c r="I37" s="37">
        <f t="shared" si="4"/>
        <v>0</v>
      </c>
      <c r="J37" s="37"/>
      <c r="K37" s="119">
        <v>5585.75</v>
      </c>
      <c r="L37" s="119">
        <f t="shared" si="1"/>
        <v>-5585.75</v>
      </c>
      <c r="M37" s="222">
        <f t="shared" si="10"/>
        <v>0</v>
      </c>
      <c r="N37" s="137">
        <f>E37-вересень!E37</f>
        <v>0</v>
      </c>
      <c r="O37" s="145">
        <f>F37-вересень!F37</f>
        <v>0</v>
      </c>
      <c r="P37" s="36">
        <f t="shared" si="6"/>
        <v>0</v>
      </c>
      <c r="Q37" s="37"/>
      <c r="R37" s="107"/>
      <c r="S37" s="108"/>
      <c r="T37" s="147">
        <f t="shared" si="8"/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61842.48</v>
      </c>
      <c r="E38" s="151">
        <f>E39+E40+E41+E42+E43+E45+E47+E48+E49+E50+E51+E56+E57+E61+E44</f>
        <v>55295.03</v>
      </c>
      <c r="F38" s="151">
        <f>F39+F40+F41+F42+F43+F45+F47+F48+F49+F50+F51+F56+F57+F61+F44</f>
        <v>55017.729999999996</v>
      </c>
      <c r="G38" s="151">
        <f>G39+G40+G41+G42+G43+G45+G47+G48+G49+G50+G51+G56+G57+G61</f>
        <v>-311.2500000000012</v>
      </c>
      <c r="H38" s="152">
        <f>F38/E38*100</f>
        <v>99.49850827461346</v>
      </c>
      <c r="I38" s="153">
        <f>F38-D38</f>
        <v>-6824.750000000007</v>
      </c>
      <c r="J38" s="153">
        <f>F38/D38*100</f>
        <v>88.9643009141936</v>
      </c>
      <c r="K38" s="151">
        <v>35081.67</v>
      </c>
      <c r="L38" s="151">
        <f t="shared" si="1"/>
        <v>19936.059999999998</v>
      </c>
      <c r="M38" s="207">
        <f t="shared" si="10"/>
        <v>1.5682756835692258</v>
      </c>
      <c r="N38" s="151">
        <f>N39+N40+N41+N42+N43+N45+N47+N48+N49+N50+N51+N56+N57+N61+N44</f>
        <v>6170</v>
      </c>
      <c r="O38" s="151">
        <f>O39+O40+O41+O42+O43+O45+O47+O48+O49+O50+O51+O56+O57+O61+O44</f>
        <v>5570.8399999999965</v>
      </c>
      <c r="P38" s="151">
        <f>P39+P40+P41+P42+P43+P45+P47+P48+P49+P50+P51+P56+P57+P61</f>
        <v>-605.960000000003</v>
      </c>
      <c r="Q38" s="151">
        <f>O38/N38*100</f>
        <v>90.28914100486219</v>
      </c>
      <c r="R38" s="15" t="e">
        <f>#N/A</f>
        <v>#N/A</v>
      </c>
      <c r="S38" s="15" t="e">
        <f>#N/A</f>
        <v>#N/A</v>
      </c>
      <c r="T38" s="147">
        <f t="shared" si="8"/>
        <v>6547.450000000004</v>
      </c>
    </row>
    <row r="39" spans="1:20" s="6" customFormat="1" ht="46.5">
      <c r="A39" s="8"/>
      <c r="B39" s="44" t="s">
        <v>100</v>
      </c>
      <c r="C39" s="43">
        <v>21010301</v>
      </c>
      <c r="D39" s="150">
        <v>400</v>
      </c>
      <c r="E39" s="150">
        <v>386</v>
      </c>
      <c r="F39" s="156">
        <v>484.83</v>
      </c>
      <c r="G39" s="162">
        <f>F39-E39</f>
        <v>98.82999999999998</v>
      </c>
      <c r="H39" s="164">
        <f aca="true" t="shared" si="11" ref="H39:H62">F39/E39*100</f>
        <v>125.60362694300518</v>
      </c>
      <c r="I39" s="165">
        <f>F39-D39</f>
        <v>84.82999999999998</v>
      </c>
      <c r="J39" s="165">
        <f>F39/D39*100</f>
        <v>121.2075</v>
      </c>
      <c r="K39" s="165">
        <v>-57.79</v>
      </c>
      <c r="L39" s="165">
        <f t="shared" si="1"/>
        <v>542.62</v>
      </c>
      <c r="M39" s="223">
        <f t="shared" si="10"/>
        <v>-8.389513756705313</v>
      </c>
      <c r="N39" s="164">
        <f>E39-вересень!E39</f>
        <v>3</v>
      </c>
      <c r="O39" s="168">
        <f>F39-вересень!F39</f>
        <v>63.94999999999999</v>
      </c>
      <c r="P39" s="167">
        <f>O39-N39</f>
        <v>60.94999999999999</v>
      </c>
      <c r="Q39" s="165">
        <f aca="true" t="shared" si="12" ref="Q39:Q62">O39/N39*100</f>
        <v>2131.666666666666</v>
      </c>
      <c r="R39" s="37"/>
      <c r="S39" s="94"/>
      <c r="T39" s="147">
        <f t="shared" si="8"/>
        <v>14</v>
      </c>
    </row>
    <row r="40" spans="1:20" s="6" customFormat="1" ht="30.75">
      <c r="A40" s="8"/>
      <c r="B40" s="129" t="s">
        <v>78</v>
      </c>
      <c r="C40" s="42">
        <v>21050000</v>
      </c>
      <c r="D40" s="150">
        <f>25000+5007</f>
        <v>30007</v>
      </c>
      <c r="E40" s="150">
        <v>27766</v>
      </c>
      <c r="F40" s="156">
        <v>27670.12</v>
      </c>
      <c r="G40" s="162">
        <f aca="true" t="shared" si="13" ref="G40:G63">F40-E40</f>
        <v>-95.88000000000102</v>
      </c>
      <c r="H40" s="164">
        <f t="shared" si="11"/>
        <v>99.65468558668876</v>
      </c>
      <c r="I40" s="165">
        <f aca="true" t="shared" si="14" ref="I40:I63">F40-D40</f>
        <v>-2336.880000000001</v>
      </c>
      <c r="J40" s="165">
        <f>F40/D40*100</f>
        <v>92.21221714933182</v>
      </c>
      <c r="K40" s="165">
        <v>8434.93</v>
      </c>
      <c r="L40" s="165">
        <f t="shared" si="1"/>
        <v>19235.19</v>
      </c>
      <c r="M40" s="223"/>
      <c r="N40" s="164">
        <f>E40-вересень!E40</f>
        <v>3600</v>
      </c>
      <c r="O40" s="168">
        <f>F40-вересень!F40</f>
        <v>3503.989999999998</v>
      </c>
      <c r="P40" s="167">
        <f aca="true" t="shared" si="15" ref="P40:P63">O40-N40</f>
        <v>-96.01000000000204</v>
      </c>
      <c r="Q40" s="165">
        <f t="shared" si="12"/>
        <v>97.3330555555555</v>
      </c>
      <c r="R40" s="37"/>
      <c r="S40" s="94"/>
      <c r="T40" s="147">
        <f t="shared" si="8"/>
        <v>2241</v>
      </c>
    </row>
    <row r="41" spans="1:20" s="6" customFormat="1" ht="18">
      <c r="A41" s="8"/>
      <c r="B41" s="129" t="s">
        <v>61</v>
      </c>
      <c r="C41" s="42">
        <v>21080500</v>
      </c>
      <c r="D41" s="150">
        <v>111.44</v>
      </c>
      <c r="E41" s="150">
        <v>111.44</v>
      </c>
      <c r="F41" s="156">
        <v>31.98</v>
      </c>
      <c r="G41" s="162">
        <f t="shared" si="13"/>
        <v>-79.46</v>
      </c>
      <c r="H41" s="164">
        <f t="shared" si="11"/>
        <v>28.697056712132092</v>
      </c>
      <c r="I41" s="165">
        <f t="shared" si="14"/>
        <v>-79.46</v>
      </c>
      <c r="J41" s="165">
        <f aca="true" t="shared" si="16" ref="J41:J62">F41/D41*100</f>
        <v>28.697056712132092</v>
      </c>
      <c r="K41" s="165">
        <v>349.81</v>
      </c>
      <c r="L41" s="165">
        <f t="shared" si="1"/>
        <v>-317.83</v>
      </c>
      <c r="M41" s="223">
        <f aca="true" t="shared" si="17" ref="M41:M63">F41/K41</f>
        <v>0.09142105714530745</v>
      </c>
      <c r="N41" s="164">
        <f>E41-вересень!E41</f>
        <v>0</v>
      </c>
      <c r="O41" s="168">
        <f>F41-вересень!F41</f>
        <v>0</v>
      </c>
      <c r="P41" s="167">
        <f t="shared" si="15"/>
        <v>0</v>
      </c>
      <c r="Q41" s="165"/>
      <c r="R41" s="37"/>
      <c r="S41" s="94"/>
      <c r="T41" s="147">
        <f t="shared" si="8"/>
        <v>0</v>
      </c>
    </row>
    <row r="42" spans="1:20" s="6" customFormat="1" ht="31.5">
      <c r="A42" s="8"/>
      <c r="B42" s="26" t="s">
        <v>39</v>
      </c>
      <c r="C42" s="71">
        <v>21080900</v>
      </c>
      <c r="D42" s="150">
        <f>6.5-6.5</f>
        <v>0</v>
      </c>
      <c r="E42" s="150">
        <v>0</v>
      </c>
      <c r="F42" s="156">
        <v>0.1</v>
      </c>
      <c r="G42" s="162">
        <f t="shared" si="13"/>
        <v>0.1</v>
      </c>
      <c r="H42" s="164"/>
      <c r="I42" s="165">
        <f t="shared" si="14"/>
        <v>0.1</v>
      </c>
      <c r="J42" s="165"/>
      <c r="K42" s="165">
        <v>0</v>
      </c>
      <c r="L42" s="165">
        <f t="shared" si="1"/>
        <v>0.1</v>
      </c>
      <c r="M42" s="223"/>
      <c r="N42" s="164">
        <f>E42-вересень!E42</f>
        <v>0</v>
      </c>
      <c r="O42" s="168">
        <f>F42-вересень!F42</f>
        <v>0</v>
      </c>
      <c r="P42" s="167">
        <f t="shared" si="15"/>
        <v>0</v>
      </c>
      <c r="Q42" s="165"/>
      <c r="R42" s="37"/>
      <c r="S42" s="94"/>
      <c r="T42" s="147">
        <f t="shared" si="8"/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150</v>
      </c>
      <c r="E43" s="150">
        <v>100</v>
      </c>
      <c r="F43" s="156">
        <v>207.68</v>
      </c>
      <c r="G43" s="162">
        <f t="shared" si="13"/>
        <v>107.68</v>
      </c>
      <c r="H43" s="164">
        <f t="shared" si="11"/>
        <v>207.68</v>
      </c>
      <c r="I43" s="165">
        <f t="shared" si="14"/>
        <v>57.68000000000001</v>
      </c>
      <c r="J43" s="165">
        <f t="shared" si="16"/>
        <v>138.45333333333335</v>
      </c>
      <c r="K43" s="165">
        <v>255.87</v>
      </c>
      <c r="L43" s="165">
        <f t="shared" si="1"/>
        <v>-48.19</v>
      </c>
      <c r="M43" s="223">
        <f t="shared" si="17"/>
        <v>0.8116621721968187</v>
      </c>
      <c r="N43" s="164">
        <f>E43-вересень!E43</f>
        <v>10</v>
      </c>
      <c r="O43" s="168">
        <f>F43-вересень!F43</f>
        <v>10.560000000000002</v>
      </c>
      <c r="P43" s="167">
        <f t="shared" si="15"/>
        <v>0.5600000000000023</v>
      </c>
      <c r="Q43" s="165">
        <f t="shared" si="12"/>
        <v>105.60000000000002</v>
      </c>
      <c r="R43" s="37"/>
      <c r="S43" s="94"/>
      <c r="T43" s="147">
        <f t="shared" si="8"/>
        <v>50</v>
      </c>
    </row>
    <row r="44" spans="1:20" s="6" customFormat="1" ht="46.5">
      <c r="A44" s="8"/>
      <c r="B44" s="130" t="s">
        <v>81</v>
      </c>
      <c r="C44" s="72">
        <v>21081500</v>
      </c>
      <c r="D44" s="150">
        <v>14</v>
      </c>
      <c r="E44" s="150">
        <v>14</v>
      </c>
      <c r="F44" s="156">
        <v>47.95</v>
      </c>
      <c r="G44" s="162">
        <f t="shared" si="13"/>
        <v>33.95</v>
      </c>
      <c r="H44" s="164"/>
      <c r="I44" s="165">
        <f t="shared" si="14"/>
        <v>33.95</v>
      </c>
      <c r="J44" s="165"/>
      <c r="K44" s="165">
        <v>0</v>
      </c>
      <c r="L44" s="165">
        <f t="shared" si="1"/>
        <v>47.95</v>
      </c>
      <c r="M44" s="223" t="e">
        <f t="shared" si="17"/>
        <v>#DIV/0!</v>
      </c>
      <c r="N44" s="164">
        <f>E44-вересень!E44</f>
        <v>0</v>
      </c>
      <c r="O44" s="168">
        <f>F44-вересень!F44</f>
        <v>6.800000000000004</v>
      </c>
      <c r="P44" s="167"/>
      <c r="Q44" s="165"/>
      <c r="R44" s="37"/>
      <c r="S44" s="94"/>
      <c r="T44" s="147">
        <f t="shared" si="8"/>
        <v>0</v>
      </c>
    </row>
    <row r="45" spans="1:20" s="6" customFormat="1" ht="30.75">
      <c r="A45" s="8"/>
      <c r="B45" s="148" t="s">
        <v>108</v>
      </c>
      <c r="C45" s="49">
        <v>22010300</v>
      </c>
      <c r="D45" s="150">
        <v>300</v>
      </c>
      <c r="E45" s="150">
        <v>272</v>
      </c>
      <c r="F45" s="156">
        <v>531.02</v>
      </c>
      <c r="G45" s="162">
        <f t="shared" si="13"/>
        <v>259.02</v>
      </c>
      <c r="H45" s="164">
        <f t="shared" si="11"/>
        <v>195.22794117647058</v>
      </c>
      <c r="I45" s="165">
        <f t="shared" si="14"/>
        <v>231.01999999999998</v>
      </c>
      <c r="J45" s="165">
        <f t="shared" si="16"/>
        <v>177.00666666666666</v>
      </c>
      <c r="K45" s="165">
        <v>0</v>
      </c>
      <c r="L45" s="165">
        <f t="shared" si="1"/>
        <v>531.02</v>
      </c>
      <c r="M45" s="223"/>
      <c r="N45" s="164">
        <f>E45-вересень!E45</f>
        <v>8</v>
      </c>
      <c r="O45" s="168">
        <f>F45-вересень!F45</f>
        <v>102.38999999999999</v>
      </c>
      <c r="P45" s="167">
        <f t="shared" si="15"/>
        <v>94.38999999999999</v>
      </c>
      <c r="Q45" s="165">
        <f t="shared" si="12"/>
        <v>1279.8749999999998</v>
      </c>
      <c r="R45" s="37"/>
      <c r="S45" s="94"/>
      <c r="T45" s="147">
        <f t="shared" si="8"/>
        <v>28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 t="shared" si="1"/>
        <v>0</v>
      </c>
      <c r="M46" s="223" t="e">
        <f t="shared" si="17"/>
        <v>#DIV/0!</v>
      </c>
      <c r="N46" s="164">
        <f>E46-вересень!E46</f>
        <v>0</v>
      </c>
      <c r="O46" s="168">
        <f>F46-вересень!F46</f>
        <v>0</v>
      </c>
      <c r="P46" s="167"/>
      <c r="Q46" s="165"/>
      <c r="R46" s="37"/>
      <c r="S46" s="94"/>
      <c r="T46" s="147">
        <f t="shared" si="8"/>
        <v>0</v>
      </c>
    </row>
    <row r="47" spans="1:20" s="6" customFormat="1" ht="18">
      <c r="A47" s="8"/>
      <c r="B47" s="33" t="s">
        <v>79</v>
      </c>
      <c r="C47" s="72">
        <v>22012500</v>
      </c>
      <c r="D47" s="150">
        <v>9900</v>
      </c>
      <c r="E47" s="150">
        <v>8749.02</v>
      </c>
      <c r="F47" s="156">
        <v>8876.24</v>
      </c>
      <c r="G47" s="162">
        <f t="shared" si="13"/>
        <v>127.21999999999935</v>
      </c>
      <c r="H47" s="164">
        <f t="shared" si="11"/>
        <v>101.45410571698315</v>
      </c>
      <c r="I47" s="165">
        <f t="shared" si="14"/>
        <v>-1023.7600000000002</v>
      </c>
      <c r="J47" s="165">
        <f t="shared" si="16"/>
        <v>89.65898989898989</v>
      </c>
      <c r="K47" s="165">
        <v>8383.7</v>
      </c>
      <c r="L47" s="165">
        <f t="shared" si="1"/>
        <v>492.53999999999905</v>
      </c>
      <c r="M47" s="223">
        <f t="shared" si="17"/>
        <v>1.0587497167121913</v>
      </c>
      <c r="N47" s="164">
        <f>E47-вересень!E47</f>
        <v>900</v>
      </c>
      <c r="O47" s="168">
        <f>F47-вересень!F47</f>
        <v>808.5</v>
      </c>
      <c r="P47" s="167">
        <f t="shared" si="15"/>
        <v>-91.5</v>
      </c>
      <c r="Q47" s="165">
        <f t="shared" si="12"/>
        <v>89.83333333333333</v>
      </c>
      <c r="R47" s="37"/>
      <c r="S47" s="94"/>
      <c r="T47" s="147">
        <f t="shared" si="8"/>
        <v>1150.9799999999996</v>
      </c>
    </row>
    <row r="48" spans="1:20" s="6" customFormat="1" ht="31.5">
      <c r="A48" s="8"/>
      <c r="B48" s="149" t="s">
        <v>101</v>
      </c>
      <c r="C48" s="72">
        <v>22012600</v>
      </c>
      <c r="D48" s="150">
        <v>650</v>
      </c>
      <c r="E48" s="150">
        <v>650</v>
      </c>
      <c r="F48" s="156">
        <v>246.53</v>
      </c>
      <c r="G48" s="162">
        <f t="shared" si="13"/>
        <v>-403.47</v>
      </c>
      <c r="H48" s="164">
        <f t="shared" si="11"/>
        <v>37.927692307692304</v>
      </c>
      <c r="I48" s="165">
        <f t="shared" si="14"/>
        <v>-403.47</v>
      </c>
      <c r="J48" s="165">
        <f t="shared" si="16"/>
        <v>37.927692307692304</v>
      </c>
      <c r="K48" s="165">
        <v>0</v>
      </c>
      <c r="L48" s="165">
        <f t="shared" si="1"/>
        <v>246.53</v>
      </c>
      <c r="M48" s="223"/>
      <c r="N48" s="164">
        <f>E48-вересень!E48</f>
        <v>0</v>
      </c>
      <c r="O48" s="168">
        <f>F48-вересень!F48</f>
        <v>36.41</v>
      </c>
      <c r="P48" s="167">
        <f t="shared" si="15"/>
        <v>36.41</v>
      </c>
      <c r="Q48" s="165"/>
      <c r="R48" s="37"/>
      <c r="S48" s="94"/>
      <c r="T48" s="147">
        <f t="shared" si="8"/>
        <v>0</v>
      </c>
    </row>
    <row r="49" spans="1:20" s="6" customFormat="1" ht="31.5">
      <c r="A49" s="8"/>
      <c r="B49" s="149" t="s">
        <v>109</v>
      </c>
      <c r="C49" s="72">
        <v>22012900</v>
      </c>
      <c r="D49" s="150">
        <v>50</v>
      </c>
      <c r="E49" s="150">
        <v>36</v>
      </c>
      <c r="F49" s="156">
        <v>16.96</v>
      </c>
      <c r="G49" s="162">
        <f t="shared" si="13"/>
        <v>-19.04</v>
      </c>
      <c r="H49" s="164">
        <f t="shared" si="11"/>
        <v>47.111111111111114</v>
      </c>
      <c r="I49" s="165">
        <f t="shared" si="14"/>
        <v>-33.04</v>
      </c>
      <c r="J49" s="165">
        <f t="shared" si="16"/>
        <v>33.92</v>
      </c>
      <c r="K49" s="165">
        <v>0</v>
      </c>
      <c r="L49" s="165">
        <f t="shared" si="1"/>
        <v>16.96</v>
      </c>
      <c r="M49" s="223"/>
      <c r="N49" s="164">
        <f>E49-вересень!E49</f>
        <v>4</v>
      </c>
      <c r="O49" s="168">
        <f>F49-вересень!F49</f>
        <v>0.28000000000000114</v>
      </c>
      <c r="P49" s="167">
        <f t="shared" si="15"/>
        <v>-3.719999999999999</v>
      </c>
      <c r="Q49" s="165">
        <f t="shared" si="12"/>
        <v>7.000000000000028</v>
      </c>
      <c r="R49" s="37"/>
      <c r="S49" s="94"/>
      <c r="T49" s="147">
        <f t="shared" si="8"/>
        <v>14</v>
      </c>
    </row>
    <row r="50" spans="1:20" s="6" customFormat="1" ht="30.75">
      <c r="A50" s="8"/>
      <c r="B50" s="130" t="s">
        <v>14</v>
      </c>
      <c r="C50" s="49">
        <v>22080400</v>
      </c>
      <c r="D50" s="150">
        <v>8000</v>
      </c>
      <c r="E50" s="150">
        <v>6566.23</v>
      </c>
      <c r="F50" s="156">
        <v>6193.94</v>
      </c>
      <c r="G50" s="162">
        <f t="shared" si="13"/>
        <v>-372.28999999999996</v>
      </c>
      <c r="H50" s="164">
        <f t="shared" si="11"/>
        <v>94.33023211188156</v>
      </c>
      <c r="I50" s="165">
        <f t="shared" si="14"/>
        <v>-1806.0600000000004</v>
      </c>
      <c r="J50" s="165">
        <f t="shared" si="16"/>
        <v>77.42425</v>
      </c>
      <c r="K50" s="165">
        <v>7492.82</v>
      </c>
      <c r="L50" s="165">
        <f t="shared" si="1"/>
        <v>-1298.88</v>
      </c>
      <c r="M50" s="223">
        <f t="shared" si="17"/>
        <v>0.8266500463110017</v>
      </c>
      <c r="N50" s="164">
        <f>E50-вересень!E50</f>
        <v>650</v>
      </c>
      <c r="O50" s="168">
        <f>F50-вересень!F50</f>
        <v>568.7199999999993</v>
      </c>
      <c r="P50" s="167">
        <f t="shared" si="15"/>
        <v>-81.28000000000065</v>
      </c>
      <c r="Q50" s="165">
        <f t="shared" si="12"/>
        <v>87.49538461538452</v>
      </c>
      <c r="R50" s="37"/>
      <c r="S50" s="94"/>
      <c r="T50" s="147">
        <f t="shared" si="8"/>
        <v>1433.7700000000004</v>
      </c>
    </row>
    <row r="51" spans="1:20" s="6" customFormat="1" ht="18">
      <c r="A51" s="8"/>
      <c r="B51" s="130" t="s">
        <v>15</v>
      </c>
      <c r="C51" s="43">
        <v>22090000</v>
      </c>
      <c r="D51" s="150">
        <v>7000.04</v>
      </c>
      <c r="E51" s="150">
        <v>5466.19</v>
      </c>
      <c r="F51" s="156">
        <v>5010.53</v>
      </c>
      <c r="G51" s="162">
        <f t="shared" si="13"/>
        <v>-455.65999999999985</v>
      </c>
      <c r="H51" s="164">
        <f t="shared" si="11"/>
        <v>91.66402924157411</v>
      </c>
      <c r="I51" s="165">
        <f t="shared" si="14"/>
        <v>-1989.5100000000002</v>
      </c>
      <c r="J51" s="165">
        <f t="shared" si="16"/>
        <v>71.57859097948011</v>
      </c>
      <c r="K51" s="165">
        <v>6187.55</v>
      </c>
      <c r="L51" s="165">
        <f t="shared" si="1"/>
        <v>-1177.0200000000004</v>
      </c>
      <c r="M51" s="223">
        <f t="shared" si="17"/>
        <v>0.8097760826175141</v>
      </c>
      <c r="N51" s="164">
        <f>E51-вересень!E51</f>
        <v>555</v>
      </c>
      <c r="O51" s="168">
        <f>F51-вересень!F51</f>
        <v>84.90999999999985</v>
      </c>
      <c r="P51" s="167">
        <f t="shared" si="15"/>
        <v>-470.09000000000015</v>
      </c>
      <c r="Q51" s="165">
        <f t="shared" si="12"/>
        <v>15.299099099099072</v>
      </c>
      <c r="R51" s="37"/>
      <c r="S51" s="94"/>
      <c r="T51" s="147">
        <f t="shared" si="8"/>
        <v>1533.8500000000004</v>
      </c>
    </row>
    <row r="52" spans="1:20" s="6" customFormat="1" ht="15">
      <c r="A52" s="8"/>
      <c r="B52" s="50" t="s">
        <v>99</v>
      </c>
      <c r="C52" s="123">
        <v>22090100</v>
      </c>
      <c r="D52" s="103">
        <v>970</v>
      </c>
      <c r="E52" s="103">
        <v>738.99</v>
      </c>
      <c r="F52" s="140">
        <v>702.3</v>
      </c>
      <c r="G52" s="34">
        <f t="shared" si="13"/>
        <v>-36.690000000000055</v>
      </c>
      <c r="H52" s="30">
        <f t="shared" si="11"/>
        <v>95.03511549547355</v>
      </c>
      <c r="I52" s="104">
        <f t="shared" si="14"/>
        <v>-267.70000000000005</v>
      </c>
      <c r="J52" s="104">
        <f t="shared" si="16"/>
        <v>72.4020618556701</v>
      </c>
      <c r="K52" s="104">
        <v>883.77</v>
      </c>
      <c r="L52" s="104">
        <f>F52-K52</f>
        <v>-181.47000000000003</v>
      </c>
      <c r="M52" s="109">
        <f t="shared" si="17"/>
        <v>0.7946637699854034</v>
      </c>
      <c r="N52" s="105">
        <f>E52-вересень!E52</f>
        <v>55</v>
      </c>
      <c r="O52" s="144">
        <f>F52-вересень!F52</f>
        <v>59.18999999999994</v>
      </c>
      <c r="P52" s="106">
        <f t="shared" si="15"/>
        <v>4.189999999999941</v>
      </c>
      <c r="Q52" s="119">
        <f t="shared" si="12"/>
        <v>107.6181818181817</v>
      </c>
      <c r="R52" s="37"/>
      <c r="S52" s="94"/>
      <c r="T52" s="147">
        <f t="shared" si="8"/>
        <v>231.01</v>
      </c>
    </row>
    <row r="53" spans="1:20" s="6" customFormat="1" ht="15">
      <c r="A53" s="8"/>
      <c r="B53" s="50" t="s">
        <v>96</v>
      </c>
      <c r="C53" s="123">
        <v>22090200</v>
      </c>
      <c r="D53" s="103">
        <v>5.04</v>
      </c>
      <c r="E53" s="103">
        <v>5.04</v>
      </c>
      <c r="F53" s="140">
        <v>0.29</v>
      </c>
      <c r="G53" s="34">
        <f t="shared" si="13"/>
        <v>-4.75</v>
      </c>
      <c r="H53" s="30">
        <f t="shared" si="11"/>
        <v>5.753968253968254</v>
      </c>
      <c r="I53" s="104">
        <f t="shared" si="14"/>
        <v>-4.75</v>
      </c>
      <c r="J53" s="104">
        <f t="shared" si="16"/>
        <v>5.753968253968254</v>
      </c>
      <c r="K53" s="104">
        <v>44.11</v>
      </c>
      <c r="L53" s="104">
        <f>F53-K53</f>
        <v>-43.82</v>
      </c>
      <c r="M53" s="109">
        <f t="shared" si="17"/>
        <v>0.0065744729086374964</v>
      </c>
      <c r="N53" s="105">
        <f>E53-вересень!E53</f>
        <v>0</v>
      </c>
      <c r="O53" s="144">
        <f>F53-вересень!F53</f>
        <v>0.019999999999999962</v>
      </c>
      <c r="P53" s="106">
        <f t="shared" si="15"/>
        <v>0.019999999999999962</v>
      </c>
      <c r="Q53" s="119" t="e">
        <f t="shared" si="12"/>
        <v>#DIV/0!</v>
      </c>
      <c r="R53" s="37"/>
      <c r="S53" s="94"/>
      <c r="T53" s="147">
        <f t="shared" si="8"/>
        <v>0</v>
      </c>
    </row>
    <row r="54" spans="1:20" s="6" customFormat="1" ht="15">
      <c r="A54" s="8"/>
      <c r="B54" s="50" t="s">
        <v>97</v>
      </c>
      <c r="C54" s="123">
        <v>22090300</v>
      </c>
      <c r="D54" s="103">
        <v>1</v>
      </c>
      <c r="E54" s="103">
        <v>0</v>
      </c>
      <c r="F54" s="140">
        <v>0.02</v>
      </c>
      <c r="G54" s="34">
        <f t="shared" si="13"/>
        <v>0.02</v>
      </c>
      <c r="H54" s="30"/>
      <c r="I54" s="104">
        <f t="shared" si="14"/>
        <v>-0.98</v>
      </c>
      <c r="J54" s="104">
        <f t="shared" si="16"/>
        <v>2</v>
      </c>
      <c r="K54" s="104">
        <v>0.75</v>
      </c>
      <c r="L54" s="104">
        <f>F54-K54</f>
        <v>-0.73</v>
      </c>
      <c r="M54" s="109">
        <f t="shared" si="17"/>
        <v>0.02666666666666667</v>
      </c>
      <c r="N54" s="105">
        <f>E54-вересень!E54</f>
        <v>0</v>
      </c>
      <c r="O54" s="144">
        <f>F54-вересень!F54</f>
        <v>0</v>
      </c>
      <c r="P54" s="106">
        <f t="shared" si="15"/>
        <v>0</v>
      </c>
      <c r="Q54" s="119"/>
      <c r="R54" s="37"/>
      <c r="S54" s="94"/>
      <c r="T54" s="147">
        <f t="shared" si="8"/>
        <v>1</v>
      </c>
    </row>
    <row r="55" spans="1:20" s="6" customFormat="1" ht="15">
      <c r="A55" s="8"/>
      <c r="B55" s="50" t="s">
        <v>98</v>
      </c>
      <c r="C55" s="123">
        <v>22090400</v>
      </c>
      <c r="D55" s="103">
        <v>6024</v>
      </c>
      <c r="E55" s="103">
        <v>4722.17</v>
      </c>
      <c r="F55" s="140">
        <v>4307.92</v>
      </c>
      <c r="G55" s="34">
        <f t="shared" si="13"/>
        <v>-414.25</v>
      </c>
      <c r="H55" s="30">
        <f t="shared" si="11"/>
        <v>91.22755004584756</v>
      </c>
      <c r="I55" s="104">
        <f t="shared" si="14"/>
        <v>-1716.08</v>
      </c>
      <c r="J55" s="104">
        <f t="shared" si="16"/>
        <v>71.51261620185923</v>
      </c>
      <c r="K55" s="104">
        <v>5258.92</v>
      </c>
      <c r="L55" s="104">
        <f>F55-K55</f>
        <v>-951</v>
      </c>
      <c r="M55" s="109">
        <f t="shared" si="17"/>
        <v>0.8191643911677683</v>
      </c>
      <c r="N55" s="105">
        <f>E55-вересень!E55</f>
        <v>500</v>
      </c>
      <c r="O55" s="144">
        <f>F55-вересень!F55</f>
        <v>25.699999999999818</v>
      </c>
      <c r="P55" s="106">
        <f t="shared" si="15"/>
        <v>-474.3000000000002</v>
      </c>
      <c r="Q55" s="119">
        <f t="shared" si="12"/>
        <v>5.139999999999963</v>
      </c>
      <c r="R55" s="37"/>
      <c r="S55" s="94"/>
      <c r="T55" s="147">
        <f t="shared" si="8"/>
        <v>1301.83</v>
      </c>
    </row>
    <row r="56" spans="1:20" s="6" customFormat="1" ht="46.5">
      <c r="A56" s="8"/>
      <c r="B56" s="13" t="s">
        <v>17</v>
      </c>
      <c r="C56" s="11" t="s">
        <v>18</v>
      </c>
      <c r="D56" s="150">
        <v>10</v>
      </c>
      <c r="E56" s="150">
        <v>0.17</v>
      </c>
      <c r="F56" s="156">
        <v>2.46</v>
      </c>
      <c r="G56" s="162">
        <f t="shared" si="13"/>
        <v>2.29</v>
      </c>
      <c r="H56" s="164">
        <f t="shared" si="11"/>
        <v>1447.0588235294117</v>
      </c>
      <c r="I56" s="165">
        <f t="shared" si="14"/>
        <v>-7.54</v>
      </c>
      <c r="J56" s="165">
        <f t="shared" si="16"/>
        <v>24.6</v>
      </c>
      <c r="K56" s="165">
        <v>3.89</v>
      </c>
      <c r="L56" s="165">
        <f>F56-K56</f>
        <v>-1.4300000000000002</v>
      </c>
      <c r="M56" s="223">
        <f t="shared" si="17"/>
        <v>0.6323907455012853</v>
      </c>
      <c r="N56" s="164">
        <f>E56-вересень!E56</f>
        <v>0</v>
      </c>
      <c r="O56" s="168">
        <f>F56-вересень!F56</f>
        <v>0</v>
      </c>
      <c r="P56" s="167">
        <f t="shared" si="15"/>
        <v>0</v>
      </c>
      <c r="Q56" s="165"/>
      <c r="R56" s="37"/>
      <c r="S56" s="94"/>
      <c r="T56" s="147">
        <f t="shared" si="8"/>
        <v>9.83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5150</v>
      </c>
      <c r="E57" s="150">
        <v>5077.98</v>
      </c>
      <c r="F57" s="156">
        <v>5538.46</v>
      </c>
      <c r="G57" s="162">
        <f t="shared" si="13"/>
        <v>460.4800000000005</v>
      </c>
      <c r="H57" s="164">
        <f t="shared" si="11"/>
        <v>109.06817277736425</v>
      </c>
      <c r="I57" s="165">
        <f t="shared" si="14"/>
        <v>388.46000000000004</v>
      </c>
      <c r="J57" s="165">
        <f t="shared" si="16"/>
        <v>107.54291262135922</v>
      </c>
      <c r="K57" s="165">
        <v>4010.85</v>
      </c>
      <c r="L57" s="165">
        <f aca="true" t="shared" si="18" ref="L57:L63">F57-K57</f>
        <v>1527.6100000000001</v>
      </c>
      <c r="M57" s="223">
        <f t="shared" si="17"/>
        <v>1.380869391774811</v>
      </c>
      <c r="N57" s="164">
        <f>E57-вересень!E57</f>
        <v>440</v>
      </c>
      <c r="O57" s="168">
        <f>F57-вересень!F57</f>
        <v>384.3299999999999</v>
      </c>
      <c r="P57" s="167">
        <f t="shared" si="15"/>
        <v>-55.67000000000007</v>
      </c>
      <c r="Q57" s="165">
        <f t="shared" si="12"/>
        <v>87.34772727272725</v>
      </c>
      <c r="R57" s="37"/>
      <c r="S57" s="94"/>
      <c r="T57" s="147">
        <f t="shared" si="8"/>
        <v>72.02000000000044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 t="shared" si="13"/>
        <v>0</v>
      </c>
      <c r="H58" s="164" t="e">
        <f t="shared" si="11"/>
        <v>#DIV/0!</v>
      </c>
      <c r="I58" s="165">
        <f t="shared" si="14"/>
        <v>0</v>
      </c>
      <c r="J58" s="165" t="e">
        <f t="shared" si="16"/>
        <v>#DIV/0!</v>
      </c>
      <c r="K58" s="165"/>
      <c r="L58" s="165">
        <f t="shared" si="18"/>
        <v>0</v>
      </c>
      <c r="M58" s="223" t="e">
        <f t="shared" si="17"/>
        <v>#DIV/0!</v>
      </c>
      <c r="N58" s="164">
        <f>E58-вересень!E58</f>
        <v>0</v>
      </c>
      <c r="O58" s="168">
        <f>F58-вересень!F58</f>
        <v>0</v>
      </c>
      <c r="P58" s="167">
        <f t="shared" si="15"/>
        <v>0</v>
      </c>
      <c r="Q58" s="165" t="e">
        <f t="shared" si="12"/>
        <v>#DIV/0!</v>
      </c>
      <c r="R58" s="37"/>
      <c r="S58" s="94"/>
      <c r="T58" s="147">
        <f t="shared" si="8"/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3">
        <v>1136.87</v>
      </c>
      <c r="G59" s="162"/>
      <c r="H59" s="164"/>
      <c r="I59" s="165"/>
      <c r="J59" s="165"/>
      <c r="K59" s="166">
        <v>1044.28</v>
      </c>
      <c r="L59" s="165">
        <f t="shared" si="18"/>
        <v>92.58999999999992</v>
      </c>
      <c r="M59" s="223">
        <f t="shared" si="17"/>
        <v>1.0886639598575094</v>
      </c>
      <c r="N59" s="164"/>
      <c r="O59" s="179">
        <f>F59-вересень!F59</f>
        <v>134.51999999999987</v>
      </c>
      <c r="P59" s="166"/>
      <c r="Q59" s="165"/>
      <c r="R59" s="37"/>
      <c r="S59" s="94"/>
      <c r="T59" s="147">
        <f t="shared" si="8"/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 t="shared" si="13"/>
        <v>0</v>
      </c>
      <c r="H60" s="164"/>
      <c r="I60" s="165">
        <f t="shared" si="14"/>
        <v>0</v>
      </c>
      <c r="J60" s="165"/>
      <c r="K60" s="166"/>
      <c r="L60" s="165">
        <f t="shared" si="18"/>
        <v>0</v>
      </c>
      <c r="M60" s="223" t="e">
        <f t="shared" si="17"/>
        <v>#DIV/0!</v>
      </c>
      <c r="N60" s="164">
        <f>E60-вересень!E60</f>
        <v>0</v>
      </c>
      <c r="O60" s="168">
        <f>F60-вересень!F60</f>
        <v>0</v>
      </c>
      <c r="P60" s="167">
        <f t="shared" si="15"/>
        <v>0</v>
      </c>
      <c r="Q60" s="165"/>
      <c r="R60" s="37"/>
      <c r="S60" s="94"/>
      <c r="T60" s="147">
        <f t="shared" si="8"/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100</v>
      </c>
      <c r="E61" s="150">
        <v>100</v>
      </c>
      <c r="F61" s="156">
        <v>158.93</v>
      </c>
      <c r="G61" s="162">
        <f t="shared" si="13"/>
        <v>58.93000000000001</v>
      </c>
      <c r="H61" s="164">
        <f t="shared" si="11"/>
        <v>158.93</v>
      </c>
      <c r="I61" s="165">
        <f t="shared" si="14"/>
        <v>58.93000000000001</v>
      </c>
      <c r="J61" s="165">
        <f t="shared" si="16"/>
        <v>158.93</v>
      </c>
      <c r="K61" s="165">
        <v>20.05</v>
      </c>
      <c r="L61" s="165">
        <f t="shared" si="18"/>
        <v>138.88</v>
      </c>
      <c r="M61" s="223">
        <f t="shared" si="17"/>
        <v>7.926683291770574</v>
      </c>
      <c r="N61" s="164">
        <f>E61-вересень!E61</f>
        <v>0</v>
      </c>
      <c r="O61" s="168">
        <f>F61-вересень!F61</f>
        <v>0</v>
      </c>
      <c r="P61" s="167">
        <f t="shared" si="15"/>
        <v>0</v>
      </c>
      <c r="Q61" s="165"/>
      <c r="R61" s="37"/>
      <c r="S61" s="94"/>
      <c r="T61" s="147">
        <f t="shared" si="8"/>
        <v>0</v>
      </c>
    </row>
    <row r="62" spans="1:20" s="6" customFormat="1" ht="30.75">
      <c r="A62" s="8"/>
      <c r="B62" s="12" t="s">
        <v>44</v>
      </c>
      <c r="C62" s="43">
        <v>31010200</v>
      </c>
      <c r="D62" s="150">
        <v>30</v>
      </c>
      <c r="E62" s="150">
        <v>21.4</v>
      </c>
      <c r="F62" s="156">
        <v>13.52</v>
      </c>
      <c r="G62" s="162">
        <f t="shared" si="13"/>
        <v>-7.879999999999999</v>
      </c>
      <c r="H62" s="164">
        <f t="shared" si="11"/>
        <v>63.177570093457945</v>
      </c>
      <c r="I62" s="165">
        <f t="shared" si="14"/>
        <v>-16.48</v>
      </c>
      <c r="J62" s="165">
        <f t="shared" si="16"/>
        <v>45.06666666666666</v>
      </c>
      <c r="K62" s="165">
        <v>20.92</v>
      </c>
      <c r="L62" s="165">
        <f t="shared" si="18"/>
        <v>-7.400000000000002</v>
      </c>
      <c r="M62" s="223">
        <f t="shared" si="17"/>
        <v>0.6462715105162523</v>
      </c>
      <c r="N62" s="164">
        <f>E62-вересень!E62</f>
        <v>2.299999999999997</v>
      </c>
      <c r="O62" s="168">
        <f>F62-вересень!F62</f>
        <v>0</v>
      </c>
      <c r="P62" s="167">
        <f t="shared" si="15"/>
        <v>-2.299999999999997</v>
      </c>
      <c r="Q62" s="165">
        <f t="shared" si="12"/>
        <v>0</v>
      </c>
      <c r="R62" s="37"/>
      <c r="S62" s="94"/>
      <c r="T62" s="147">
        <f t="shared" si="8"/>
        <v>8.600000000000001</v>
      </c>
    </row>
    <row r="63" spans="1:20" s="6" customFormat="1" ht="30.75">
      <c r="A63" s="8"/>
      <c r="B63" s="12" t="s">
        <v>57</v>
      </c>
      <c r="C63" s="43">
        <v>31020000</v>
      </c>
      <c r="D63" s="150">
        <v>0.8</v>
      </c>
      <c r="E63" s="150">
        <v>0.2</v>
      </c>
      <c r="F63" s="156">
        <v>1.02</v>
      </c>
      <c r="G63" s="162">
        <f t="shared" si="13"/>
        <v>0.8200000000000001</v>
      </c>
      <c r="H63" s="164"/>
      <c r="I63" s="165">
        <f t="shared" si="14"/>
        <v>0.21999999999999997</v>
      </c>
      <c r="J63" s="165"/>
      <c r="K63" s="165">
        <v>0.31</v>
      </c>
      <c r="L63" s="165">
        <f t="shared" si="18"/>
        <v>0.71</v>
      </c>
      <c r="M63" s="223">
        <f t="shared" si="17"/>
        <v>3.2903225806451615</v>
      </c>
      <c r="N63" s="164">
        <f>E63-вересень!E63</f>
        <v>0</v>
      </c>
      <c r="O63" s="168">
        <f>F63-вересень!F63</f>
        <v>0</v>
      </c>
      <c r="P63" s="167">
        <f t="shared" si="15"/>
        <v>0</v>
      </c>
      <c r="Q63" s="165"/>
      <c r="R63" s="37"/>
      <c r="S63" s="94"/>
      <c r="T63" s="147">
        <f t="shared" si="8"/>
        <v>0.6000000000000001</v>
      </c>
    </row>
    <row r="64" spans="1:21" s="6" customFormat="1" ht="18">
      <c r="A64" s="9"/>
      <c r="B64" s="14" t="s">
        <v>28</v>
      </c>
      <c r="C64" s="62"/>
      <c r="D64" s="151">
        <f>D8+D38+D62+D63</f>
        <v>1018944.7300000001</v>
      </c>
      <c r="E64" s="151">
        <f>E8+E38+E62+E63</f>
        <v>850992.5599999999</v>
      </c>
      <c r="F64" s="151">
        <f>F8+F38+F62+F63</f>
        <v>852651.03</v>
      </c>
      <c r="G64" s="151">
        <f>F64-E64</f>
        <v>1658.4700000000885</v>
      </c>
      <c r="H64" s="152">
        <f>F64/E64*100</f>
        <v>100.19488654518909</v>
      </c>
      <c r="I64" s="153">
        <f>F64-D64</f>
        <v>-166293.70000000007</v>
      </c>
      <c r="J64" s="153">
        <f>F64/D64*100</f>
        <v>83.679811563479</v>
      </c>
      <c r="K64" s="153">
        <v>577689.14</v>
      </c>
      <c r="L64" s="153">
        <f>F64-K64</f>
        <v>274961.89</v>
      </c>
      <c r="M64" s="224">
        <f>F64/K64</f>
        <v>1.4759685979210202</v>
      </c>
      <c r="N64" s="151">
        <f>N8+N38+N62+N63</f>
        <v>95997.42</v>
      </c>
      <c r="O64" s="151">
        <f>O8+O38+O62+O63</f>
        <v>95150.93000000001</v>
      </c>
      <c r="P64" s="155">
        <f>O64-N64</f>
        <v>-846.4899999999907</v>
      </c>
      <c r="Q64" s="153">
        <f>O64/N64*100</f>
        <v>99.11821588538527</v>
      </c>
      <c r="R64" s="27">
        <f>O64-34768</f>
        <v>60382.93000000001</v>
      </c>
      <c r="S64" s="115">
        <f>O64/34768</f>
        <v>2.7367386677404513</v>
      </c>
      <c r="T64" s="147">
        <f t="shared" si="8"/>
        <v>167952.17000000016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 t="shared" si="8"/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 t="shared" si="8"/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 t="shared" si="8"/>
        <v>0</v>
      </c>
    </row>
    <row r="68" spans="2:20" ht="15">
      <c r="B68" s="22" t="s">
        <v>111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 t="shared" si="8"/>
        <v>0</v>
      </c>
    </row>
    <row r="69" spans="2:20" ht="25.5" customHeight="1">
      <c r="B69" s="134" t="s">
        <v>102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11">
        <f>F69/K69</f>
        <v>1</v>
      </c>
      <c r="N69" s="162"/>
      <c r="O69" s="182">
        <f>F69-вересень!F69</f>
        <v>0</v>
      </c>
      <c r="P69" s="167"/>
      <c r="Q69" s="167"/>
      <c r="R69" s="38"/>
      <c r="S69" s="97"/>
      <c r="T69" s="147">
        <f t="shared" si="8"/>
        <v>0</v>
      </c>
    </row>
    <row r="70" spans="2:20" ht="31.5">
      <c r="B70" s="23" t="s">
        <v>62</v>
      </c>
      <c r="C70" s="73">
        <v>18041500</v>
      </c>
      <c r="D70" s="180">
        <v>0</v>
      </c>
      <c r="E70" s="180"/>
      <c r="F70" s="181">
        <v>-10.19</v>
      </c>
      <c r="G70" s="162">
        <f>F70-E70</f>
        <v>-10.19</v>
      </c>
      <c r="H70" s="164"/>
      <c r="I70" s="167">
        <f>F70-D70</f>
        <v>-10.19</v>
      </c>
      <c r="J70" s="167"/>
      <c r="K70" s="167">
        <v>-54.75</v>
      </c>
      <c r="L70" s="167">
        <f>F70-K70</f>
        <v>44.56</v>
      </c>
      <c r="M70" s="211">
        <f>F70/K70</f>
        <v>0.18611872146118721</v>
      </c>
      <c r="N70" s="164"/>
      <c r="O70" s="182">
        <f>F70-вересень!F70</f>
        <v>-6.359999999999999</v>
      </c>
      <c r="P70" s="167">
        <f>O70-N70</f>
        <v>-6.359999999999999</v>
      </c>
      <c r="Q70" s="167"/>
      <c r="R70" s="38"/>
      <c r="S70" s="97"/>
      <c r="T70" s="147">
        <f t="shared" si="8"/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-10.18</v>
      </c>
      <c r="G71" s="185">
        <f>F71-E71</f>
        <v>-10.18</v>
      </c>
      <c r="H71" s="186"/>
      <c r="I71" s="187">
        <f>F71-D71</f>
        <v>-10.18</v>
      </c>
      <c r="J71" s="187"/>
      <c r="K71" s="187">
        <v>-51.7</v>
      </c>
      <c r="L71" s="187">
        <f>F71-K71</f>
        <v>41.52</v>
      </c>
      <c r="M71" s="217">
        <f>F71/K71</f>
        <v>0.19690522243713732</v>
      </c>
      <c r="N71" s="185">
        <f>N70</f>
        <v>0</v>
      </c>
      <c r="O71" s="188">
        <f>SUM(O69:O70)</f>
        <v>-6.359999999999999</v>
      </c>
      <c r="P71" s="187">
        <f>O71-N71</f>
        <v>-6.359999999999999</v>
      </c>
      <c r="Q71" s="187"/>
      <c r="R71" s="39"/>
      <c r="S71" s="98"/>
      <c r="T71" s="147">
        <f t="shared" si="8"/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18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 t="shared" si="8"/>
        <v>0</v>
      </c>
    </row>
    <row r="73" spans="2:20" ht="31.5">
      <c r="B73" s="23" t="s">
        <v>29</v>
      </c>
      <c r="C73" s="73">
        <v>31030000</v>
      </c>
      <c r="D73" s="180">
        <f>4200+11000</f>
        <v>15200</v>
      </c>
      <c r="E73" s="180">
        <v>2700</v>
      </c>
      <c r="F73" s="181">
        <v>2052.2</v>
      </c>
      <c r="G73" s="162">
        <f aca="true" t="shared" si="19" ref="G73:G83">F73-E73</f>
        <v>-647.8000000000002</v>
      </c>
      <c r="H73" s="164"/>
      <c r="I73" s="167">
        <f aca="true" t="shared" si="20" ref="I73:I83">F73-D73</f>
        <v>-13147.8</v>
      </c>
      <c r="J73" s="167">
        <f>F73/D73*100</f>
        <v>13.501315789473683</v>
      </c>
      <c r="K73" s="167">
        <v>593.13</v>
      </c>
      <c r="L73" s="167">
        <f aca="true" t="shared" si="21" ref="L73:L83">F73-K73</f>
        <v>1459.0699999999997</v>
      </c>
      <c r="M73" s="211">
        <f>F73/K73</f>
        <v>3.459949758063156</v>
      </c>
      <c r="N73" s="164">
        <f>E73-вересень!E73</f>
        <v>0</v>
      </c>
      <c r="O73" s="168">
        <f>F73-вересень!F73</f>
        <v>498.2499999999998</v>
      </c>
      <c r="P73" s="167">
        <f aca="true" t="shared" si="22" ref="P73:P86">O73-N73</f>
        <v>498.2499999999998</v>
      </c>
      <c r="Q73" s="167" t="e">
        <f>O73/N73*100</f>
        <v>#DIV/0!</v>
      </c>
      <c r="R73" s="38"/>
      <c r="S73" s="97"/>
      <c r="T73" s="147">
        <f t="shared" si="8"/>
        <v>12500</v>
      </c>
    </row>
    <row r="74" spans="2:20" ht="18">
      <c r="B74" s="23" t="s">
        <v>30</v>
      </c>
      <c r="C74" s="73">
        <v>33010000</v>
      </c>
      <c r="D74" s="180">
        <f>7459+9700</f>
        <v>17159</v>
      </c>
      <c r="E74" s="180">
        <v>5152.91</v>
      </c>
      <c r="F74" s="181">
        <v>7241.5</v>
      </c>
      <c r="G74" s="162">
        <f t="shared" si="19"/>
        <v>2088.59</v>
      </c>
      <c r="H74" s="164">
        <f>F74/E74*100</f>
        <v>140.53224294621873</v>
      </c>
      <c r="I74" s="167">
        <f t="shared" si="20"/>
        <v>-9917.5</v>
      </c>
      <c r="J74" s="167">
        <f>F74/D74*100</f>
        <v>42.20234279386911</v>
      </c>
      <c r="K74" s="167">
        <v>7212.08</v>
      </c>
      <c r="L74" s="167">
        <f t="shared" si="21"/>
        <v>29.420000000000073</v>
      </c>
      <c r="M74" s="211">
        <f>F74/K74</f>
        <v>1.0040792670075762</v>
      </c>
      <c r="N74" s="164">
        <f>E74-вересень!E74</f>
        <v>460.6999999999998</v>
      </c>
      <c r="O74" s="168">
        <f>F74-вересень!F74</f>
        <v>338.0500000000002</v>
      </c>
      <c r="P74" s="167">
        <f t="shared" si="22"/>
        <v>-122.64999999999964</v>
      </c>
      <c r="Q74" s="167">
        <f>O74/N74*100</f>
        <v>73.3774690688084</v>
      </c>
      <c r="R74" s="38"/>
      <c r="S74" s="97"/>
      <c r="T74" s="147">
        <f aca="true" t="shared" si="23" ref="T74:T90">D74-E74</f>
        <v>12006.09</v>
      </c>
    </row>
    <row r="75" spans="2:20" ht="31.5">
      <c r="B75" s="23" t="s">
        <v>54</v>
      </c>
      <c r="C75" s="73">
        <v>24170000</v>
      </c>
      <c r="D75" s="180">
        <f>6000+10000</f>
        <v>16000</v>
      </c>
      <c r="E75" s="180">
        <v>3000.85</v>
      </c>
      <c r="F75" s="181">
        <v>12246.75</v>
      </c>
      <c r="G75" s="162">
        <f t="shared" si="19"/>
        <v>9245.9</v>
      </c>
      <c r="H75" s="164">
        <f>F75/E75*100</f>
        <v>408.1093690121133</v>
      </c>
      <c r="I75" s="167">
        <f t="shared" si="20"/>
        <v>-3753.25</v>
      </c>
      <c r="J75" s="167">
        <f>F75/D75*100</f>
        <v>76.5421875</v>
      </c>
      <c r="K75" s="167">
        <v>2063.43</v>
      </c>
      <c r="L75" s="167">
        <f t="shared" si="21"/>
        <v>10183.32</v>
      </c>
      <c r="M75" s="211">
        <f>F75/K75</f>
        <v>5.935141972347015</v>
      </c>
      <c r="N75" s="164">
        <f>E75-вересень!E75</f>
        <v>302</v>
      </c>
      <c r="O75" s="168">
        <f>F75-вересень!F75</f>
        <v>130.32999999999993</v>
      </c>
      <c r="P75" s="167">
        <f t="shared" si="22"/>
        <v>-171.67000000000007</v>
      </c>
      <c r="Q75" s="167">
        <f>O75/N75*100</f>
        <v>43.15562913907282</v>
      </c>
      <c r="R75" s="38"/>
      <c r="S75" s="97"/>
      <c r="T75" s="147">
        <f t="shared" si="23"/>
        <v>12999.15</v>
      </c>
    </row>
    <row r="76" spans="2:20" ht="18">
      <c r="B76" s="23" t="s">
        <v>103</v>
      </c>
      <c r="C76" s="73">
        <v>24110700</v>
      </c>
      <c r="D76" s="180">
        <v>12</v>
      </c>
      <c r="E76" s="180">
        <v>10</v>
      </c>
      <c r="F76" s="181">
        <v>11</v>
      </c>
      <c r="G76" s="162">
        <f t="shared" si="19"/>
        <v>1</v>
      </c>
      <c r="H76" s="164">
        <f>F76/E76*100</f>
        <v>110.00000000000001</v>
      </c>
      <c r="I76" s="167">
        <f t="shared" si="20"/>
        <v>-1</v>
      </c>
      <c r="J76" s="167">
        <f>F76/D76*100</f>
        <v>91.66666666666666</v>
      </c>
      <c r="K76" s="167">
        <v>0</v>
      </c>
      <c r="L76" s="167">
        <f t="shared" si="21"/>
        <v>11</v>
      </c>
      <c r="M76" s="211"/>
      <c r="N76" s="164">
        <f>E76-вересень!E76</f>
        <v>1</v>
      </c>
      <c r="O76" s="168">
        <f>F76-вересень!F76</f>
        <v>1</v>
      </c>
      <c r="P76" s="167">
        <f t="shared" si="22"/>
        <v>0</v>
      </c>
      <c r="Q76" s="167">
        <f>O76/N76*100</f>
        <v>100</v>
      </c>
      <c r="R76" s="38"/>
      <c r="S76" s="136"/>
      <c r="T76" s="147">
        <f t="shared" si="23"/>
        <v>2</v>
      </c>
    </row>
    <row r="77" spans="2:20" ht="33">
      <c r="B77" s="28" t="s">
        <v>51</v>
      </c>
      <c r="C77" s="65"/>
      <c r="D77" s="183">
        <f>D73+D74+D75+D76</f>
        <v>48371</v>
      </c>
      <c r="E77" s="183">
        <f>E73+E74+E75+E76</f>
        <v>10863.76</v>
      </c>
      <c r="F77" s="184">
        <f>F73+F74+F75+F76</f>
        <v>21551.45</v>
      </c>
      <c r="G77" s="185">
        <f t="shared" si="19"/>
        <v>10687.69</v>
      </c>
      <c r="H77" s="186">
        <f>F77/E77*100</f>
        <v>198.37929041142291</v>
      </c>
      <c r="I77" s="187">
        <f t="shared" si="20"/>
        <v>-26819.55</v>
      </c>
      <c r="J77" s="187">
        <f>F77/D77*100</f>
        <v>44.55448512538504</v>
      </c>
      <c r="K77" s="187">
        <v>6439.8</v>
      </c>
      <c r="L77" s="187">
        <f t="shared" si="21"/>
        <v>15111.650000000001</v>
      </c>
      <c r="M77" s="217">
        <f>F77/K77</f>
        <v>3.3466023789558683</v>
      </c>
      <c r="N77" s="185">
        <f>N73+N74+N75+N76</f>
        <v>763.6999999999998</v>
      </c>
      <c r="O77" s="189">
        <f>O73+O74+O75+O76</f>
        <v>967.6299999999999</v>
      </c>
      <c r="P77" s="187">
        <f t="shared" si="22"/>
        <v>203.93000000000006</v>
      </c>
      <c r="Q77" s="187">
        <f>O77/N77*100</f>
        <v>126.70289380646852</v>
      </c>
      <c r="R77" s="39"/>
      <c r="S77" s="116"/>
      <c r="T77" s="147">
        <f t="shared" si="23"/>
        <v>37507.24</v>
      </c>
    </row>
    <row r="78" spans="2:20" ht="46.5">
      <c r="B78" s="12" t="s">
        <v>40</v>
      </c>
      <c r="C78" s="75">
        <v>24062100</v>
      </c>
      <c r="D78" s="180">
        <v>1</v>
      </c>
      <c r="E78" s="180">
        <v>0</v>
      </c>
      <c r="F78" s="181">
        <v>35.95</v>
      </c>
      <c r="G78" s="162">
        <f t="shared" si="19"/>
        <v>35.95</v>
      </c>
      <c r="H78" s="164"/>
      <c r="I78" s="167">
        <f t="shared" si="20"/>
        <v>34.95</v>
      </c>
      <c r="J78" s="167"/>
      <c r="K78" s="167">
        <v>0.35</v>
      </c>
      <c r="L78" s="167">
        <f t="shared" si="21"/>
        <v>35.6</v>
      </c>
      <c r="M78" s="211">
        <f>F78/K78</f>
        <v>102.71428571428572</v>
      </c>
      <c r="N78" s="164">
        <f>E78-вересень!E78</f>
        <v>0</v>
      </c>
      <c r="O78" s="168">
        <f>F78-вересень!F78</f>
        <v>0.1700000000000017</v>
      </c>
      <c r="P78" s="167">
        <f t="shared" si="22"/>
        <v>0.1700000000000017</v>
      </c>
      <c r="Q78" s="167"/>
      <c r="R78" s="38"/>
      <c r="S78" s="97"/>
      <c r="T78" s="147">
        <f t="shared" si="23"/>
        <v>1</v>
      </c>
    </row>
    <row r="79" spans="2:20" ht="18" hidden="1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 t="shared" si="19"/>
        <v>0</v>
      </c>
      <c r="H79" s="164"/>
      <c r="I79" s="167">
        <f t="shared" si="20"/>
        <v>0</v>
      </c>
      <c r="J79" s="190"/>
      <c r="K79" s="167">
        <v>0</v>
      </c>
      <c r="L79" s="167">
        <f t="shared" si="21"/>
        <v>0</v>
      </c>
      <c r="M79" s="211" t="e">
        <f>F79/K79</f>
        <v>#DIV/0!</v>
      </c>
      <c r="N79" s="164">
        <f>E79-вересень!E79</f>
        <v>0</v>
      </c>
      <c r="O79" s="168">
        <f>F79-вересень!F79</f>
        <v>0</v>
      </c>
      <c r="P79" s="167">
        <f t="shared" si="22"/>
        <v>0</v>
      </c>
      <c r="Q79" s="190"/>
      <c r="R79" s="41"/>
      <c r="S79" s="99"/>
      <c r="T79" s="147">
        <f t="shared" si="23"/>
        <v>0</v>
      </c>
    </row>
    <row r="80" spans="2:20" ht="18">
      <c r="B80" s="23" t="s">
        <v>46</v>
      </c>
      <c r="C80" s="73">
        <v>19010000</v>
      </c>
      <c r="D80" s="180">
        <v>9500</v>
      </c>
      <c r="E80" s="180">
        <v>7625.3</v>
      </c>
      <c r="F80" s="181">
        <v>6836.07</v>
      </c>
      <c r="G80" s="162">
        <f t="shared" si="19"/>
        <v>-789.2300000000005</v>
      </c>
      <c r="H80" s="164">
        <f>F80/E80*100</f>
        <v>89.64984984197343</v>
      </c>
      <c r="I80" s="167">
        <f t="shared" si="20"/>
        <v>-2663.9300000000003</v>
      </c>
      <c r="J80" s="167">
        <f>F80/D80*100</f>
        <v>71.95863157894736</v>
      </c>
      <c r="K80" s="167">
        <v>0</v>
      </c>
      <c r="L80" s="167">
        <f t="shared" si="21"/>
        <v>6836.07</v>
      </c>
      <c r="M80" s="211"/>
      <c r="N80" s="164">
        <f>E80-вересень!E80</f>
        <v>1.300000000000182</v>
      </c>
      <c r="O80" s="168">
        <f>F80-вересень!F80</f>
        <v>10.399999999999636</v>
      </c>
      <c r="P80" s="167">
        <f>O80-N80</f>
        <v>9.099999999999454</v>
      </c>
      <c r="Q80" s="190">
        <f>O80/N80*100</f>
        <v>799.9999999998602</v>
      </c>
      <c r="R80" s="41"/>
      <c r="S80" s="99"/>
      <c r="T80" s="147">
        <f t="shared" si="23"/>
        <v>1874.6999999999998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1.34</v>
      </c>
      <c r="G81" s="162">
        <f t="shared" si="19"/>
        <v>1.34</v>
      </c>
      <c r="H81" s="164"/>
      <c r="I81" s="167">
        <f t="shared" si="20"/>
        <v>1.34</v>
      </c>
      <c r="J81" s="167"/>
      <c r="K81" s="167">
        <v>1.14</v>
      </c>
      <c r="L81" s="167">
        <f t="shared" si="21"/>
        <v>0.20000000000000018</v>
      </c>
      <c r="M81" s="211">
        <f>F81/K81</f>
        <v>1.1754385964912282</v>
      </c>
      <c r="N81" s="164">
        <f>E81-вересень!E81</f>
        <v>0</v>
      </c>
      <c r="O81" s="168">
        <f>F81-вересень!F81</f>
        <v>0.1200000000000001</v>
      </c>
      <c r="P81" s="167">
        <f t="shared" si="22"/>
        <v>0.1200000000000001</v>
      </c>
      <c r="Q81" s="167"/>
      <c r="R81" s="38"/>
      <c r="S81" s="97"/>
      <c r="T81" s="147">
        <f t="shared" si="23"/>
        <v>0</v>
      </c>
    </row>
    <row r="82" spans="2:20" ht="30">
      <c r="B82" s="28" t="s">
        <v>47</v>
      </c>
      <c r="C82" s="73"/>
      <c r="D82" s="183">
        <f>D78+D81+D79+D80</f>
        <v>9501</v>
      </c>
      <c r="E82" s="183">
        <f>E78+E81+E79+E80</f>
        <v>7625.3</v>
      </c>
      <c r="F82" s="184">
        <f>F78+F81+F79+F80</f>
        <v>6873.36</v>
      </c>
      <c r="G82" s="183">
        <f>G78+G81+G79+G80</f>
        <v>-751.9400000000005</v>
      </c>
      <c r="H82" s="186">
        <f>F82/E82*100</f>
        <v>90.13887978177907</v>
      </c>
      <c r="I82" s="187">
        <f t="shared" si="20"/>
        <v>-2627.6400000000003</v>
      </c>
      <c r="J82" s="187">
        <f>F82/D82*100</f>
        <v>72.34354278497001</v>
      </c>
      <c r="K82" s="187">
        <v>1.35</v>
      </c>
      <c r="L82" s="187">
        <f t="shared" si="21"/>
        <v>6872.009999999999</v>
      </c>
      <c r="M82" s="225">
        <f>F82/K82</f>
        <v>5091.377777777777</v>
      </c>
      <c r="N82" s="185">
        <f>N78+N81+N79+N80</f>
        <v>1.300000000000182</v>
      </c>
      <c r="O82" s="189">
        <f>O78+O81+O79+O80</f>
        <v>10.689999999999639</v>
      </c>
      <c r="P82" s="185">
        <f>P78+P81+P79+P80</f>
        <v>9.389999999999457</v>
      </c>
      <c r="Q82" s="187">
        <f>O82/N82*100</f>
        <v>822.3076923075494</v>
      </c>
      <c r="R82" s="39"/>
      <c r="S82" s="96"/>
      <c r="T82" s="147">
        <f t="shared" si="23"/>
        <v>1875.6999999999998</v>
      </c>
    </row>
    <row r="83" spans="2:20" ht="30.75">
      <c r="B83" s="12" t="s">
        <v>41</v>
      </c>
      <c r="C83" s="43">
        <v>24110900</v>
      </c>
      <c r="D83" s="180">
        <v>43</v>
      </c>
      <c r="E83" s="180">
        <v>29.77</v>
      </c>
      <c r="F83" s="181">
        <v>27.47</v>
      </c>
      <c r="G83" s="162">
        <f t="shared" si="19"/>
        <v>-2.3000000000000007</v>
      </c>
      <c r="H83" s="164">
        <f>F83/E83*100</f>
        <v>92.27410144440712</v>
      </c>
      <c r="I83" s="167">
        <f t="shared" si="20"/>
        <v>-15.530000000000001</v>
      </c>
      <c r="J83" s="167">
        <f>F83/D83*100</f>
        <v>63.883720930232556</v>
      </c>
      <c r="K83" s="167">
        <v>30.02</v>
      </c>
      <c r="L83" s="167">
        <f t="shared" si="21"/>
        <v>-2.5500000000000007</v>
      </c>
      <c r="M83" s="211">
        <f>F83/K83</f>
        <v>0.9150566289140573</v>
      </c>
      <c r="N83" s="164">
        <f>E83-вересень!E83</f>
        <v>0.8000000000000007</v>
      </c>
      <c r="O83" s="168">
        <f>F83-вересень!F83</f>
        <v>0.5999999999999979</v>
      </c>
      <c r="P83" s="167">
        <f t="shared" si="22"/>
        <v>-0.20000000000000284</v>
      </c>
      <c r="Q83" s="167">
        <f>O83/N83</f>
        <v>0.7499999999999967</v>
      </c>
      <c r="R83" s="38"/>
      <c r="S83" s="97"/>
      <c r="T83" s="147">
        <f t="shared" si="23"/>
        <v>13.23</v>
      </c>
    </row>
    <row r="84" spans="2:20" ht="18" hidden="1">
      <c r="B84" s="122"/>
      <c r="C84" s="43"/>
      <c r="D84" s="180"/>
      <c r="E84" s="180"/>
      <c r="F84" s="181"/>
      <c r="G84" s="162"/>
      <c r="H84" s="164"/>
      <c r="I84" s="167"/>
      <c r="J84" s="167"/>
      <c r="K84" s="167">
        <v>0</v>
      </c>
      <c r="L84" s="167"/>
      <c r="M84" s="167"/>
      <c r="N84" s="164" t="e">
        <f>E84-#REF!</f>
        <v>#REF!</v>
      </c>
      <c r="O84" s="168" t="e">
        <f>F84-#REF!</f>
        <v>#REF!</v>
      </c>
      <c r="P84" s="167" t="e">
        <f t="shared" si="22"/>
        <v>#REF!</v>
      </c>
      <c r="Q84" s="167"/>
      <c r="R84" s="38"/>
      <c r="S84" s="97"/>
      <c r="T84" s="147">
        <f t="shared" si="23"/>
        <v>0</v>
      </c>
    </row>
    <row r="85" spans="2:20" ht="23.25" customHeight="1">
      <c r="B85" s="14" t="s">
        <v>31</v>
      </c>
      <c r="C85" s="66"/>
      <c r="D85" s="191">
        <f>D71+D83+D77+D82</f>
        <v>57915</v>
      </c>
      <c r="E85" s="191">
        <f>E71+E83+E77+E82</f>
        <v>18518.83</v>
      </c>
      <c r="F85" s="191">
        <f>F71+F83+F77+F82+F84</f>
        <v>28442.100000000002</v>
      </c>
      <c r="G85" s="192">
        <f>F85-E85</f>
        <v>9923.27</v>
      </c>
      <c r="H85" s="193">
        <f>F85/E85*100</f>
        <v>153.58475670439222</v>
      </c>
      <c r="I85" s="194">
        <f>F85-D85</f>
        <v>-29472.899999999998</v>
      </c>
      <c r="J85" s="194">
        <f>F85/D85*100</f>
        <v>49.110075110075115</v>
      </c>
      <c r="K85" s="194">
        <v>9845.6</v>
      </c>
      <c r="L85" s="194">
        <f>F85-K85</f>
        <v>18596.5</v>
      </c>
      <c r="M85" s="226">
        <f>F85/K85</f>
        <v>2.888813276996831</v>
      </c>
      <c r="N85" s="191">
        <f>N71+N83+N77+N82</f>
        <v>765.8</v>
      </c>
      <c r="O85" s="191" t="e">
        <f>O71+O83+O77+O82+O84</f>
        <v>#REF!</v>
      </c>
      <c r="P85" s="194" t="e">
        <f t="shared" si="22"/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 t="shared" si="23"/>
        <v>39396.17</v>
      </c>
    </row>
    <row r="86" spans="2:20" ht="17.25">
      <c r="B86" s="21" t="s">
        <v>32</v>
      </c>
      <c r="C86" s="66"/>
      <c r="D86" s="191">
        <f>D64+D85</f>
        <v>1076859.73</v>
      </c>
      <c r="E86" s="191">
        <f>E64+E85</f>
        <v>869511.3899999999</v>
      </c>
      <c r="F86" s="191">
        <f>F64+F85</f>
        <v>881093.13</v>
      </c>
      <c r="G86" s="192">
        <f>F86-E86</f>
        <v>11581.740000000107</v>
      </c>
      <c r="H86" s="193">
        <f>F86/E86*100</f>
        <v>101.33198255171794</v>
      </c>
      <c r="I86" s="194">
        <f>F86-D86</f>
        <v>-195766.59999999998</v>
      </c>
      <c r="J86" s="194">
        <f>F86/D86*100</f>
        <v>81.82060350608523</v>
      </c>
      <c r="K86" s="194">
        <f>K64+K85</f>
        <v>587534.74</v>
      </c>
      <c r="L86" s="194">
        <f>F86-K86</f>
        <v>293558.39</v>
      </c>
      <c r="M86" s="226">
        <f>F86/K86</f>
        <v>1.4996443103943096</v>
      </c>
      <c r="N86" s="192">
        <f>N64+N85</f>
        <v>96763.22</v>
      </c>
      <c r="O86" s="192" t="e">
        <f>O64+O85</f>
        <v>#REF!</v>
      </c>
      <c r="P86" s="194" t="e">
        <f t="shared" si="22"/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 t="shared" si="23"/>
        <v>207348.34000000008</v>
      </c>
    </row>
    <row r="87" spans="2:20" ht="15">
      <c r="B87" s="20" t="s">
        <v>34</v>
      </c>
      <c r="O87" s="25"/>
      <c r="T87" s="147">
        <f t="shared" si="23"/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 t="shared" si="23"/>
        <v>#VALUE!</v>
      </c>
    </row>
    <row r="89" spans="2:20" ht="30.75">
      <c r="B89" s="52" t="s">
        <v>53</v>
      </c>
      <c r="C89" s="29" t="e">
        <f>IF(P64&lt;0,ABS(P64/C88),0)</f>
        <v>#DIV/0!</v>
      </c>
      <c r="D89" s="4" t="s">
        <v>24</v>
      </c>
      <c r="G89" s="268"/>
      <c r="H89" s="268"/>
      <c r="I89" s="268"/>
      <c r="J89" s="268"/>
      <c r="K89" s="84"/>
      <c r="L89" s="84"/>
      <c r="M89" s="84"/>
      <c r="Q89" s="25"/>
      <c r="R89" s="25"/>
      <c r="T89" s="147" t="e">
        <f t="shared" si="23"/>
        <v>#VALUE!</v>
      </c>
    </row>
    <row r="90" spans="2:20" ht="34.5" customHeight="1">
      <c r="B90" s="53" t="s">
        <v>55</v>
      </c>
      <c r="C90" s="81">
        <v>42674</v>
      </c>
      <c r="D90" s="29">
        <v>6669</v>
      </c>
      <c r="G90" s="4" t="s">
        <v>58</v>
      </c>
      <c r="O90" s="269"/>
      <c r="P90" s="269"/>
      <c r="T90" s="147">
        <f t="shared" si="23"/>
        <v>6669</v>
      </c>
    </row>
    <row r="91" spans="3:16" ht="15">
      <c r="C91" s="81">
        <v>42671</v>
      </c>
      <c r="D91" s="29">
        <v>15898.1</v>
      </c>
      <c r="F91" s="113" t="s">
        <v>58</v>
      </c>
      <c r="G91" s="270"/>
      <c r="H91" s="270"/>
      <c r="I91" s="118"/>
      <c r="J91" s="271"/>
      <c r="K91" s="271"/>
      <c r="L91" s="271"/>
      <c r="M91" s="271"/>
      <c r="N91" s="271"/>
      <c r="O91" s="269"/>
      <c r="P91" s="269"/>
    </row>
    <row r="92" spans="3:16" ht="15.75" customHeight="1">
      <c r="C92" s="81">
        <v>42670</v>
      </c>
      <c r="D92" s="29">
        <v>7999.8</v>
      </c>
      <c r="F92" s="68"/>
      <c r="G92" s="270"/>
      <c r="H92" s="270"/>
      <c r="I92" s="118"/>
      <c r="J92" s="272"/>
      <c r="K92" s="272"/>
      <c r="L92" s="272"/>
      <c r="M92" s="272"/>
      <c r="N92" s="272"/>
      <c r="O92" s="269"/>
      <c r="P92" s="269"/>
    </row>
    <row r="93" spans="3:14" ht="15.75" customHeight="1">
      <c r="C93" s="81"/>
      <c r="F93" s="68"/>
      <c r="G93" s="276"/>
      <c r="H93" s="276"/>
      <c r="I93" s="124"/>
      <c r="J93" s="271"/>
      <c r="K93" s="271"/>
      <c r="L93" s="271"/>
      <c r="M93" s="271"/>
      <c r="N93" s="271"/>
    </row>
    <row r="94" spans="2:14" ht="18.75" customHeight="1">
      <c r="B94" s="277" t="s">
        <v>56</v>
      </c>
      <c r="C94" s="278"/>
      <c r="D94" s="133">
        <v>12068.543380000001</v>
      </c>
      <c r="E94" s="69"/>
      <c r="F94" s="125" t="s">
        <v>110</v>
      </c>
      <c r="G94" s="270"/>
      <c r="H94" s="270"/>
      <c r="I94" s="126"/>
      <c r="J94" s="271"/>
      <c r="K94" s="271"/>
      <c r="L94" s="271"/>
      <c r="M94" s="271"/>
      <c r="N94" s="271"/>
    </row>
    <row r="95" spans="6:13" ht="9.75" customHeight="1">
      <c r="F95" s="68"/>
      <c r="G95" s="270"/>
      <c r="H95" s="270"/>
      <c r="I95" s="68"/>
      <c r="J95" s="69"/>
      <c r="K95" s="69"/>
      <c r="L95" s="69"/>
      <c r="M95" s="69"/>
    </row>
    <row r="96" spans="2:13" ht="22.5" customHeight="1">
      <c r="B96" s="273" t="s">
        <v>59</v>
      </c>
      <c r="C96" s="274"/>
      <c r="D96" s="80">
        <v>0</v>
      </c>
      <c r="E96" s="51" t="s">
        <v>24</v>
      </c>
      <c r="F96" s="68"/>
      <c r="G96" s="270"/>
      <c r="H96" s="270"/>
      <c r="I96" s="68"/>
      <c r="J96" s="69"/>
      <c r="K96" s="69"/>
      <c r="L96" s="69"/>
      <c r="M96" s="69"/>
    </row>
    <row r="97" spans="4:16" ht="15">
      <c r="D97" s="68">
        <f>D45+D48+D49</f>
        <v>1000</v>
      </c>
      <c r="E97" s="68">
        <f>E45+E48+E49</f>
        <v>958</v>
      </c>
      <c r="F97" s="205">
        <f>F45+F48+F49</f>
        <v>794.51</v>
      </c>
      <c r="G97" s="68">
        <f>G45+G48+G49</f>
        <v>-163.49000000000004</v>
      </c>
      <c r="H97" s="69"/>
      <c r="I97" s="69"/>
      <c r="N97" s="29">
        <f>N45+N48+N49</f>
        <v>12</v>
      </c>
      <c r="O97" s="204">
        <f>O45+O48+O49</f>
        <v>139.07999999999998</v>
      </c>
      <c r="P97" s="29">
        <f>P45+P48+P49</f>
        <v>127.07999999999998</v>
      </c>
    </row>
    <row r="98" spans="4:16" ht="15">
      <c r="D98" s="78"/>
      <c r="I98" s="29"/>
      <c r="O98" s="275"/>
      <c r="P98" s="275"/>
    </row>
    <row r="99" spans="15:16" ht="15">
      <c r="O99" s="270"/>
      <c r="P99" s="270"/>
    </row>
    <row r="100" ht="15">
      <c r="O100" s="29"/>
    </row>
    <row r="103" ht="15">
      <c r="E103" s="4" t="s">
        <v>58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" bottom="0" header="0" footer="0"/>
  <pageSetup fitToHeight="2" fitToWidth="1" orientation="portrait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6" zoomScaleNormal="76" zoomScalePageLayoutView="0" workbookViewId="0" topLeftCell="B1">
      <pane xSplit="2" ySplit="8" topLeftCell="D2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I19" sqref="I19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customWidth="1"/>
    <col min="13" max="13" width="12.00390625" style="4" customWidth="1"/>
    <col min="14" max="14" width="12.00390625" style="4" hidden="1" customWidth="1"/>
    <col min="15" max="15" width="11.00390625" style="4" hidden="1" customWidth="1"/>
    <col min="16" max="16" width="12.625" style="4" hidden="1" customWidth="1"/>
    <col min="17" max="18" width="11.00390625" style="4" hidden="1" customWidth="1"/>
    <col min="19" max="19" width="11.00390625" style="89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242" t="s">
        <v>144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86"/>
      <c r="S1" s="87"/>
    </row>
    <row r="2" spans="2:19" s="1" customFormat="1" ht="15.75" customHeight="1">
      <c r="B2" s="243"/>
      <c r="C2" s="243"/>
      <c r="D2" s="243"/>
      <c r="E2" s="2"/>
      <c r="F2" s="112"/>
      <c r="G2" s="2"/>
      <c r="H2" s="2"/>
      <c r="Q2" s="17" t="s">
        <v>24</v>
      </c>
      <c r="R2" s="17"/>
      <c r="S2" s="88"/>
    </row>
    <row r="3" spans="1:19" s="3" customFormat="1" ht="13.5" customHeight="1">
      <c r="A3" s="244"/>
      <c r="B3" s="246"/>
      <c r="C3" s="247" t="s">
        <v>0</v>
      </c>
      <c r="D3" s="248" t="s">
        <v>105</v>
      </c>
      <c r="E3" s="32"/>
      <c r="F3" s="249" t="s">
        <v>26</v>
      </c>
      <c r="G3" s="250"/>
      <c r="H3" s="250"/>
      <c r="I3" s="250"/>
      <c r="J3" s="251"/>
      <c r="K3" s="83"/>
      <c r="L3" s="83"/>
      <c r="M3" s="83"/>
      <c r="N3" s="252" t="s">
        <v>139</v>
      </c>
      <c r="O3" s="255" t="s">
        <v>140</v>
      </c>
      <c r="P3" s="255"/>
      <c r="Q3" s="255"/>
      <c r="R3" s="255"/>
      <c r="S3" s="255"/>
    </row>
    <row r="4" spans="1:19" ht="22.5" customHeight="1">
      <c r="A4" s="244"/>
      <c r="B4" s="246"/>
      <c r="C4" s="247"/>
      <c r="D4" s="248"/>
      <c r="E4" s="256" t="s">
        <v>136</v>
      </c>
      <c r="F4" s="258" t="s">
        <v>33</v>
      </c>
      <c r="G4" s="260" t="s">
        <v>137</v>
      </c>
      <c r="H4" s="253" t="s">
        <v>138</v>
      </c>
      <c r="I4" s="260" t="s">
        <v>106</v>
      </c>
      <c r="J4" s="253" t="s">
        <v>107</v>
      </c>
      <c r="K4" s="85" t="s">
        <v>124</v>
      </c>
      <c r="L4" s="206" t="s">
        <v>123</v>
      </c>
      <c r="M4" s="90" t="s">
        <v>63</v>
      </c>
      <c r="N4" s="253"/>
      <c r="O4" s="262" t="s">
        <v>145</v>
      </c>
      <c r="P4" s="260" t="s">
        <v>49</v>
      </c>
      <c r="Q4" s="264" t="s">
        <v>48</v>
      </c>
      <c r="R4" s="91" t="s">
        <v>64</v>
      </c>
      <c r="S4" s="92" t="s">
        <v>63</v>
      </c>
    </row>
    <row r="5" spans="1:19" ht="67.5" customHeight="1">
      <c r="A5" s="245"/>
      <c r="B5" s="246"/>
      <c r="C5" s="247"/>
      <c r="D5" s="248"/>
      <c r="E5" s="257"/>
      <c r="F5" s="259"/>
      <c r="G5" s="261"/>
      <c r="H5" s="254"/>
      <c r="I5" s="261"/>
      <c r="J5" s="254"/>
      <c r="K5" s="265" t="s">
        <v>141</v>
      </c>
      <c r="L5" s="266"/>
      <c r="M5" s="267"/>
      <c r="N5" s="254"/>
      <c r="O5" s="263"/>
      <c r="P5" s="261"/>
      <c r="Q5" s="264"/>
      <c r="R5" s="265" t="s">
        <v>104</v>
      </c>
      <c r="S5" s="267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957071.4500000001</v>
      </c>
      <c r="E8" s="151">
        <f>E9+E15+E18+E19+E20+E37+E17</f>
        <v>705850.81</v>
      </c>
      <c r="F8" s="151">
        <f>F9+F15+F18+F19+F20+F37+F17</f>
        <v>708038.67</v>
      </c>
      <c r="G8" s="151">
        <f aca="true" t="shared" si="0" ref="G8:G37">F8-E8</f>
        <v>2187.859999999986</v>
      </c>
      <c r="H8" s="152">
        <f>F8/E8*100</f>
        <v>100.3099606841848</v>
      </c>
      <c r="I8" s="153">
        <f>F8-D8</f>
        <v>-249032.78000000003</v>
      </c>
      <c r="J8" s="153">
        <f>F8/D8*100</f>
        <v>73.97970862050059</v>
      </c>
      <c r="K8" s="151">
        <v>480879.27</v>
      </c>
      <c r="L8" s="151">
        <f aca="true" t="shared" si="1" ref="L8:L51">F8-K8</f>
        <v>227159.40000000002</v>
      </c>
      <c r="M8" s="207">
        <f aca="true" t="shared" si="2" ref="M8:M28">F8/K8</f>
        <v>1.472383432124242</v>
      </c>
      <c r="N8" s="151">
        <f>N9+N15+N18+N19+N20+N17</f>
        <v>76492.83</v>
      </c>
      <c r="O8" s="151">
        <f>O9+O15+O18+O19+O20+O17</f>
        <v>74517.83999999998</v>
      </c>
      <c r="P8" s="151">
        <f>O8-N8</f>
        <v>-1974.9900000000198</v>
      </c>
      <c r="Q8" s="151">
        <f>O8/N8*100</f>
        <v>97.41807173299769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80</v>
      </c>
      <c r="C9" s="43">
        <v>11010000</v>
      </c>
      <c r="D9" s="150">
        <v>530589</v>
      </c>
      <c r="E9" s="150">
        <f>374978.67+4100</f>
        <v>379078.67</v>
      </c>
      <c r="F9" s="156">
        <v>385326.41</v>
      </c>
      <c r="G9" s="150">
        <f t="shared" si="0"/>
        <v>6247.739999999991</v>
      </c>
      <c r="H9" s="157">
        <f>F9/E9*100</f>
        <v>101.64813810283759</v>
      </c>
      <c r="I9" s="158">
        <f>F9-D9</f>
        <v>-145262.59000000003</v>
      </c>
      <c r="J9" s="158">
        <f>F9/D9*100</f>
        <v>72.62238945775354</v>
      </c>
      <c r="K9" s="232">
        <v>264375.41</v>
      </c>
      <c r="L9" s="159">
        <f t="shared" si="1"/>
        <v>120951</v>
      </c>
      <c r="M9" s="208">
        <f t="shared" si="2"/>
        <v>1.4574971628412794</v>
      </c>
      <c r="N9" s="157">
        <f>E9-серпень!E9</f>
        <v>46785</v>
      </c>
      <c r="O9" s="160">
        <f>F9-серпень!F9</f>
        <v>45408.04999999999</v>
      </c>
      <c r="P9" s="161">
        <f>O9-N9</f>
        <v>-1376.9500000000116</v>
      </c>
      <c r="Q9" s="158">
        <f>O9/N9*100</f>
        <v>97.05685582985998</v>
      </c>
      <c r="R9" s="100"/>
      <c r="S9" s="101"/>
      <c r="T9" s="147">
        <f>D9-E9</f>
        <v>151510.33000000002</v>
      </c>
    </row>
    <row r="10" spans="1:20" s="6" customFormat="1" ht="18" hidden="1">
      <c r="A10" s="8"/>
      <c r="B10" s="121" t="s">
        <v>91</v>
      </c>
      <c r="C10" s="102">
        <v>11010100</v>
      </c>
      <c r="D10" s="103">
        <v>485209</v>
      </c>
      <c r="E10" s="103">
        <f>334470.24+4100</f>
        <v>338570.24</v>
      </c>
      <c r="F10" s="140">
        <v>339269.05</v>
      </c>
      <c r="G10" s="103">
        <f t="shared" si="0"/>
        <v>698.8099999999977</v>
      </c>
      <c r="H10" s="30">
        <f aca="true" t="shared" si="3" ref="H10:H36">F10/E10*100</f>
        <v>100.20640030263735</v>
      </c>
      <c r="I10" s="104">
        <f aca="true" t="shared" si="4" ref="I10:I37">F10-D10</f>
        <v>-145939.95</v>
      </c>
      <c r="J10" s="104">
        <f aca="true" t="shared" si="5" ref="J10:J36">F10/D10*100</f>
        <v>69.92224999948475</v>
      </c>
      <c r="K10" s="106">
        <v>233936.48</v>
      </c>
      <c r="L10" s="106">
        <f t="shared" si="1"/>
        <v>105332.56999999998</v>
      </c>
      <c r="M10" s="209">
        <f t="shared" si="2"/>
        <v>1.4502614128416396</v>
      </c>
      <c r="N10" s="105">
        <f>E10-серпень!E10</f>
        <v>43200</v>
      </c>
      <c r="O10" s="144">
        <f>F10-серпень!F10</f>
        <v>40595.640000000014</v>
      </c>
      <c r="P10" s="106">
        <f aca="true" t="shared" si="6" ref="P10:P37">O10-N10</f>
        <v>-2604.359999999986</v>
      </c>
      <c r="Q10" s="158">
        <f aca="true" t="shared" si="7" ref="Q10:Q16">O10/N10*100</f>
        <v>93.97138888888892</v>
      </c>
      <c r="R10" s="37"/>
      <c r="S10" s="94"/>
      <c r="T10" s="147">
        <f aca="true" t="shared" si="8" ref="T10:T73">D10-E10</f>
        <v>146638.76</v>
      </c>
    </row>
    <row r="11" spans="1:20" s="6" customFormat="1" ht="18" hidden="1">
      <c r="A11" s="8"/>
      <c r="B11" s="121" t="s">
        <v>87</v>
      </c>
      <c r="C11" s="102">
        <v>11010200</v>
      </c>
      <c r="D11" s="103">
        <v>23000</v>
      </c>
      <c r="E11" s="103">
        <v>21514.94</v>
      </c>
      <c r="F11" s="140">
        <v>28497.47</v>
      </c>
      <c r="G11" s="103">
        <f t="shared" si="0"/>
        <v>6982.5300000000025</v>
      </c>
      <c r="H11" s="30">
        <f t="shared" si="3"/>
        <v>132.4543317341345</v>
      </c>
      <c r="I11" s="104">
        <f t="shared" si="4"/>
        <v>5497.470000000001</v>
      </c>
      <c r="J11" s="104">
        <f t="shared" si="5"/>
        <v>123.90204347826088</v>
      </c>
      <c r="K11" s="106">
        <v>14002.69</v>
      </c>
      <c r="L11" s="106">
        <f t="shared" si="1"/>
        <v>14494.78</v>
      </c>
      <c r="M11" s="209">
        <f t="shared" si="2"/>
        <v>2.035142533327525</v>
      </c>
      <c r="N11" s="105">
        <f>E11-серпень!E11</f>
        <v>1800</v>
      </c>
      <c r="O11" s="144">
        <f>F11-серпень!F11</f>
        <v>3498.540000000001</v>
      </c>
      <c r="P11" s="106">
        <f t="shared" si="6"/>
        <v>1698.5400000000009</v>
      </c>
      <c r="Q11" s="158">
        <f t="shared" si="7"/>
        <v>194.36333333333337</v>
      </c>
      <c r="R11" s="37"/>
      <c r="S11" s="94"/>
      <c r="T11" s="147">
        <f t="shared" si="8"/>
        <v>1485.0600000000013</v>
      </c>
    </row>
    <row r="12" spans="1:20" s="6" customFormat="1" ht="18" hidden="1">
      <c r="A12" s="8"/>
      <c r="B12" s="121" t="s">
        <v>90</v>
      </c>
      <c r="C12" s="102">
        <v>11010400</v>
      </c>
      <c r="D12" s="103">
        <v>6500</v>
      </c>
      <c r="E12" s="103">
        <v>5880.61</v>
      </c>
      <c r="F12" s="140">
        <v>7409.72</v>
      </c>
      <c r="G12" s="103">
        <f t="shared" si="0"/>
        <v>1529.1100000000006</v>
      </c>
      <c r="H12" s="30">
        <f t="shared" si="3"/>
        <v>126.00257456284298</v>
      </c>
      <c r="I12" s="104">
        <f t="shared" si="4"/>
        <v>909.7200000000003</v>
      </c>
      <c r="J12" s="104">
        <f t="shared" si="5"/>
        <v>113.99569230769231</v>
      </c>
      <c r="K12" s="106">
        <v>3744.64</v>
      </c>
      <c r="L12" s="106">
        <f t="shared" si="1"/>
        <v>3665.0800000000004</v>
      </c>
      <c r="M12" s="209">
        <f t="shared" si="2"/>
        <v>1.9787536318578023</v>
      </c>
      <c r="N12" s="105">
        <f>E12-серпень!E12</f>
        <v>480</v>
      </c>
      <c r="O12" s="144">
        <f>F12-серпень!F12</f>
        <v>723.3299999999999</v>
      </c>
      <c r="P12" s="106">
        <f t="shared" si="6"/>
        <v>243.32999999999993</v>
      </c>
      <c r="Q12" s="158">
        <f t="shared" si="7"/>
        <v>150.69375</v>
      </c>
      <c r="R12" s="37"/>
      <c r="S12" s="94"/>
      <c r="T12" s="147">
        <f t="shared" si="8"/>
        <v>619.3900000000003</v>
      </c>
    </row>
    <row r="13" spans="1:20" s="6" customFormat="1" ht="18" hidden="1">
      <c r="A13" s="8"/>
      <c r="B13" s="121" t="s">
        <v>88</v>
      </c>
      <c r="C13" s="102">
        <v>11010500</v>
      </c>
      <c r="D13" s="103">
        <v>12400</v>
      </c>
      <c r="E13" s="103">
        <v>9664.84</v>
      </c>
      <c r="F13" s="140">
        <v>7511.25</v>
      </c>
      <c r="G13" s="103">
        <f t="shared" si="0"/>
        <v>-2153.59</v>
      </c>
      <c r="H13" s="30">
        <f t="shared" si="3"/>
        <v>77.7172720914159</v>
      </c>
      <c r="I13" s="104">
        <f t="shared" si="4"/>
        <v>-4888.75</v>
      </c>
      <c r="J13" s="104">
        <f t="shared" si="5"/>
        <v>60.574596774193544</v>
      </c>
      <c r="K13" s="106">
        <v>5730.24</v>
      </c>
      <c r="L13" s="106">
        <f t="shared" si="1"/>
        <v>1781.0100000000002</v>
      </c>
      <c r="M13" s="209">
        <f t="shared" si="2"/>
        <v>1.3108089713519853</v>
      </c>
      <c r="N13" s="105">
        <f>E13-серпень!E13</f>
        <v>1300</v>
      </c>
      <c r="O13" s="144">
        <f>F13-серпень!F13</f>
        <v>494</v>
      </c>
      <c r="P13" s="106">
        <f t="shared" si="6"/>
        <v>-806</v>
      </c>
      <c r="Q13" s="158">
        <f t="shared" si="7"/>
        <v>38</v>
      </c>
      <c r="R13" s="37"/>
      <c r="S13" s="94"/>
      <c r="T13" s="147">
        <f t="shared" si="8"/>
        <v>2735.16</v>
      </c>
    </row>
    <row r="14" spans="1:22" s="6" customFormat="1" ht="18" hidden="1">
      <c r="A14" s="8"/>
      <c r="B14" s="121" t="s">
        <v>89</v>
      </c>
      <c r="C14" s="102">
        <v>11010900</v>
      </c>
      <c r="D14" s="103">
        <v>3480</v>
      </c>
      <c r="E14" s="103">
        <v>3448.04</v>
      </c>
      <c r="F14" s="140">
        <v>2638.91</v>
      </c>
      <c r="G14" s="103">
        <f t="shared" si="0"/>
        <v>-809.1300000000001</v>
      </c>
      <c r="H14" s="30">
        <f t="shared" si="3"/>
        <v>76.53362489994315</v>
      </c>
      <c r="I14" s="104">
        <f t="shared" si="4"/>
        <v>-841.0900000000001</v>
      </c>
      <c r="J14" s="104">
        <f t="shared" si="5"/>
        <v>75.83074712643678</v>
      </c>
      <c r="K14" s="106">
        <v>6961.36</v>
      </c>
      <c r="L14" s="106">
        <f t="shared" si="1"/>
        <v>-4322.45</v>
      </c>
      <c r="M14" s="209">
        <f t="shared" si="2"/>
        <v>0.3790796625946654</v>
      </c>
      <c r="N14" s="105">
        <f>E14-серпень!E14</f>
        <v>5</v>
      </c>
      <c r="O14" s="144">
        <f>F14-серпень!F14</f>
        <v>96.52999999999975</v>
      </c>
      <c r="P14" s="106">
        <f t="shared" si="6"/>
        <v>91.52999999999975</v>
      </c>
      <c r="Q14" s="158">
        <f t="shared" si="7"/>
        <v>1930.5999999999947</v>
      </c>
      <c r="R14" s="37"/>
      <c r="S14" s="94"/>
      <c r="T14" s="147">
        <f t="shared" si="8"/>
        <v>31.960000000000036</v>
      </c>
      <c r="U14" s="229">
        <v>2880</v>
      </c>
      <c r="V14" s="147">
        <f>U14-T14</f>
        <v>2848.04</v>
      </c>
    </row>
    <row r="15" spans="1:20" s="6" customFormat="1" ht="30.75">
      <c r="A15" s="8"/>
      <c r="B15" s="12" t="s">
        <v>11</v>
      </c>
      <c r="C15" s="43">
        <v>11020200</v>
      </c>
      <c r="D15" s="150">
        <v>500</v>
      </c>
      <c r="E15" s="150">
        <v>370</v>
      </c>
      <c r="F15" s="156">
        <v>386.82</v>
      </c>
      <c r="G15" s="150">
        <f t="shared" si="0"/>
        <v>16.819999999999993</v>
      </c>
      <c r="H15" s="157">
        <f>F15/E15*100</f>
        <v>104.54594594594595</v>
      </c>
      <c r="I15" s="158">
        <f t="shared" si="4"/>
        <v>-113.18</v>
      </c>
      <c r="J15" s="158">
        <f t="shared" si="5"/>
        <v>77.364</v>
      </c>
      <c r="K15" s="161">
        <v>-666.69</v>
      </c>
      <c r="L15" s="161">
        <f t="shared" si="1"/>
        <v>1053.51</v>
      </c>
      <c r="M15" s="210">
        <f t="shared" si="2"/>
        <v>-0.5802096926607568</v>
      </c>
      <c r="N15" s="157">
        <f>E15-серпень!E15</f>
        <v>5</v>
      </c>
      <c r="O15" s="160">
        <f>F15-серпень!F15</f>
        <v>1.5600000000000023</v>
      </c>
      <c r="P15" s="161">
        <f t="shared" si="6"/>
        <v>-3.4399999999999977</v>
      </c>
      <c r="Q15" s="158">
        <f t="shared" si="7"/>
        <v>31.200000000000045</v>
      </c>
      <c r="R15" s="37"/>
      <c r="S15" s="94"/>
      <c r="T15" s="147">
        <f t="shared" si="8"/>
        <v>130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30" t="e">
        <f t="shared" si="3"/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10">
        <f t="shared" si="2"/>
        <v>0</v>
      </c>
      <c r="N16" s="157">
        <f>E16-серпень!E16</f>
        <v>0</v>
      </c>
      <c r="O16" s="160">
        <f>F16-серпень!F16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9">
        <f>O16/358.79</f>
        <v>0</v>
      </c>
      <c r="T16" s="147">
        <f t="shared" si="8"/>
        <v>0</v>
      </c>
    </row>
    <row r="17" spans="1:20" s="6" customFormat="1" ht="30.75">
      <c r="A17" s="8"/>
      <c r="B17" s="44" t="s">
        <v>142</v>
      </c>
      <c r="C17" s="120">
        <v>13010200</v>
      </c>
      <c r="D17" s="162">
        <v>0</v>
      </c>
      <c r="E17" s="162">
        <v>0</v>
      </c>
      <c r="F17" s="163">
        <v>0.17</v>
      </c>
      <c r="G17" s="162">
        <f t="shared" si="0"/>
        <v>0.17</v>
      </c>
      <c r="H17" s="164"/>
      <c r="I17" s="165">
        <f t="shared" si="4"/>
        <v>0.17</v>
      </c>
      <c r="J17" s="165"/>
      <c r="K17" s="167">
        <v>0.09</v>
      </c>
      <c r="L17" s="161">
        <f t="shared" si="1"/>
        <v>0.08000000000000002</v>
      </c>
      <c r="M17" s="210">
        <f t="shared" si="2"/>
        <v>1.888888888888889</v>
      </c>
      <c r="N17" s="157">
        <f>E17-серпень!E17</f>
        <v>0</v>
      </c>
      <c r="O17" s="160">
        <f>F17-серпень!F17</f>
        <v>0</v>
      </c>
      <c r="P17" s="167">
        <f t="shared" si="6"/>
        <v>0</v>
      </c>
      <c r="Q17" s="158"/>
      <c r="R17" s="104"/>
      <c r="S17" s="109"/>
      <c r="T17" s="147">
        <f t="shared" si="8"/>
        <v>0</v>
      </c>
    </row>
    <row r="18" spans="1:20" s="6" customFormat="1" ht="30.75">
      <c r="A18" s="8"/>
      <c r="B18" s="13" t="s">
        <v>143</v>
      </c>
      <c r="C18" s="43">
        <v>13030200</v>
      </c>
      <c r="D18" s="150">
        <v>105.8</v>
      </c>
      <c r="E18" s="150">
        <v>105.8</v>
      </c>
      <c r="F18" s="156">
        <v>105.8</v>
      </c>
      <c r="G18" s="150">
        <f t="shared" si="0"/>
        <v>0</v>
      </c>
      <c r="H18" s="157">
        <f t="shared" si="3"/>
        <v>100</v>
      </c>
      <c r="I18" s="158">
        <f t="shared" si="4"/>
        <v>0</v>
      </c>
      <c r="J18" s="158">
        <f t="shared" si="5"/>
        <v>100</v>
      </c>
      <c r="K18" s="161">
        <v>15.8</v>
      </c>
      <c r="L18" s="161">
        <f t="shared" si="1"/>
        <v>90</v>
      </c>
      <c r="M18" s="210">
        <f t="shared" si="2"/>
        <v>6.696202531645569</v>
      </c>
      <c r="N18" s="157">
        <f>E18-серпень!E18</f>
        <v>0</v>
      </c>
      <c r="O18" s="160">
        <f>F18-серпень!F18</f>
        <v>0</v>
      </c>
      <c r="P18" s="161">
        <f t="shared" si="6"/>
        <v>0</v>
      </c>
      <c r="Q18" s="158"/>
      <c r="R18" s="37"/>
      <c r="S18" s="94"/>
      <c r="T18" s="147">
        <f t="shared" si="8"/>
        <v>0</v>
      </c>
    </row>
    <row r="19" spans="1:21" s="6" customFormat="1" ht="46.5">
      <c r="A19" s="8"/>
      <c r="B19" s="44" t="s">
        <v>72</v>
      </c>
      <c r="C19" s="43">
        <v>14040000</v>
      </c>
      <c r="D19" s="150">
        <v>109900</v>
      </c>
      <c r="E19" s="150">
        <v>80060.4</v>
      </c>
      <c r="F19" s="156">
        <v>74352.8</v>
      </c>
      <c r="G19" s="150">
        <f t="shared" si="0"/>
        <v>-5707.599999999991</v>
      </c>
      <c r="H19" s="157">
        <f t="shared" si="3"/>
        <v>92.8708824837248</v>
      </c>
      <c r="I19" s="158">
        <f t="shared" si="4"/>
        <v>-35547.2</v>
      </c>
      <c r="J19" s="158">
        <f t="shared" si="5"/>
        <v>67.65495905368518</v>
      </c>
      <c r="K19" s="169">
        <v>51468.87</v>
      </c>
      <c r="L19" s="161">
        <f t="shared" si="1"/>
        <v>22883.93</v>
      </c>
      <c r="M19" s="216">
        <f t="shared" si="2"/>
        <v>1.4446169111542568</v>
      </c>
      <c r="N19" s="157">
        <f>E19-серпень!E19</f>
        <v>10800</v>
      </c>
      <c r="O19" s="160">
        <f>F19-серпень!F19</f>
        <v>9916.520000000004</v>
      </c>
      <c r="P19" s="161">
        <f t="shared" si="6"/>
        <v>-883.4799999999959</v>
      </c>
      <c r="Q19" s="158">
        <f aca="true" t="shared" si="9" ref="Q19:Q24">O19/N19*100</f>
        <v>91.81962962962966</v>
      </c>
      <c r="R19" s="107"/>
      <c r="S19" s="108"/>
      <c r="T19" s="147">
        <f t="shared" si="8"/>
        <v>29839.600000000006</v>
      </c>
      <c r="U19" s="6">
        <v>3348</v>
      </c>
    </row>
    <row r="20" spans="1:20" s="6" customFormat="1" ht="18">
      <c r="A20" s="8"/>
      <c r="B20" s="117" t="s">
        <v>74</v>
      </c>
      <c r="C20" s="43">
        <v>18000000</v>
      </c>
      <c r="D20" s="150">
        <f>D21+D30+D32+D29</f>
        <v>315976.65</v>
      </c>
      <c r="E20" s="150">
        <f>E21+E30+E32+E29</f>
        <v>246235.94</v>
      </c>
      <c r="F20" s="228">
        <f>F21+F29+F30+F31+F32</f>
        <v>247866.66999999998</v>
      </c>
      <c r="G20" s="150">
        <f t="shared" si="0"/>
        <v>1630.7299999999814</v>
      </c>
      <c r="H20" s="157">
        <f t="shared" si="3"/>
        <v>100.66226319358577</v>
      </c>
      <c r="I20" s="158">
        <f t="shared" si="4"/>
        <v>-68109.98000000004</v>
      </c>
      <c r="J20" s="158">
        <f t="shared" si="5"/>
        <v>78.44461608159969</v>
      </c>
      <c r="K20" s="158">
        <v>160106.6</v>
      </c>
      <c r="L20" s="161">
        <f t="shared" si="1"/>
        <v>87760.06999999998</v>
      </c>
      <c r="M20" s="211">
        <f t="shared" si="2"/>
        <v>1.5481352423947543</v>
      </c>
      <c r="N20" s="157">
        <f>N21+N30+N31+N32</f>
        <v>18902.83</v>
      </c>
      <c r="O20" s="160">
        <f>F20-серпень!F20</f>
        <v>19191.709999999992</v>
      </c>
      <c r="P20" s="161">
        <f t="shared" si="6"/>
        <v>288.8799999999901</v>
      </c>
      <c r="Q20" s="158">
        <f t="shared" si="9"/>
        <v>101.5282367772444</v>
      </c>
      <c r="R20" s="107"/>
      <c r="S20" s="108"/>
      <c r="T20" s="147">
        <f t="shared" si="8"/>
        <v>69740.71000000002</v>
      </c>
    </row>
    <row r="21" spans="1:20" s="6" customFormat="1" ht="18">
      <c r="A21" s="8"/>
      <c r="B21" s="44" t="s">
        <v>82</v>
      </c>
      <c r="C21" s="114">
        <v>18010000</v>
      </c>
      <c r="D21" s="150">
        <f>D22+D25+D26</f>
        <v>174899.65</v>
      </c>
      <c r="E21" s="150">
        <f>E22+E25+E26</f>
        <v>134080.79</v>
      </c>
      <c r="F21" s="170">
        <f>F22+F25+F26</f>
        <v>135815.81</v>
      </c>
      <c r="G21" s="150">
        <f t="shared" si="0"/>
        <v>1735.0199999999895</v>
      </c>
      <c r="H21" s="157">
        <f t="shared" si="3"/>
        <v>101.29401087210181</v>
      </c>
      <c r="I21" s="158">
        <f t="shared" si="4"/>
        <v>-39083.84</v>
      </c>
      <c r="J21" s="158">
        <f t="shared" si="5"/>
        <v>77.65356305744466</v>
      </c>
      <c r="K21" s="158">
        <v>88979.33</v>
      </c>
      <c r="L21" s="161">
        <f t="shared" si="1"/>
        <v>46836.479999999996</v>
      </c>
      <c r="M21" s="211">
        <f t="shared" si="2"/>
        <v>1.5263748333461264</v>
      </c>
      <c r="N21" s="157">
        <f>N22+N25+N26</f>
        <v>13311.830000000004</v>
      </c>
      <c r="O21" s="160">
        <f>F21-серпень!F21</f>
        <v>14135.839999999997</v>
      </c>
      <c r="P21" s="161">
        <f t="shared" si="6"/>
        <v>824.0099999999929</v>
      </c>
      <c r="Q21" s="158">
        <f t="shared" si="9"/>
        <v>106.19005801606536</v>
      </c>
      <c r="R21" s="107"/>
      <c r="S21" s="108"/>
      <c r="T21" s="147">
        <f t="shared" si="8"/>
        <v>40818.859999999986</v>
      </c>
    </row>
    <row r="22" spans="1:21" s="6" customFormat="1" ht="18">
      <c r="A22" s="8"/>
      <c r="B22" s="50" t="s">
        <v>75</v>
      </c>
      <c r="C22" s="123"/>
      <c r="D22" s="171">
        <v>18500</v>
      </c>
      <c r="E22" s="171">
        <v>15124.48</v>
      </c>
      <c r="F22" s="172">
        <v>15758.82</v>
      </c>
      <c r="G22" s="171">
        <f t="shared" si="0"/>
        <v>634.3400000000001</v>
      </c>
      <c r="H22" s="173">
        <f t="shared" si="3"/>
        <v>104.19412766587676</v>
      </c>
      <c r="I22" s="174">
        <f t="shared" si="4"/>
        <v>-2741.1800000000003</v>
      </c>
      <c r="J22" s="174">
        <f t="shared" si="5"/>
        <v>85.1828108108108</v>
      </c>
      <c r="K22" s="175">
        <v>9131.68</v>
      </c>
      <c r="L22" s="166">
        <f t="shared" si="1"/>
        <v>6627.139999999999</v>
      </c>
      <c r="M22" s="219">
        <f t="shared" si="2"/>
        <v>1.7257306432113257</v>
      </c>
      <c r="N22" s="173">
        <f>E22-серпень!E22</f>
        <v>547.5799999999999</v>
      </c>
      <c r="O22" s="176">
        <f>F22-серпень!F22</f>
        <v>885.3500000000004</v>
      </c>
      <c r="P22" s="177">
        <f t="shared" si="6"/>
        <v>337.77000000000044</v>
      </c>
      <c r="Q22" s="174">
        <f t="shared" si="9"/>
        <v>161.68413747762892</v>
      </c>
      <c r="R22" s="107"/>
      <c r="S22" s="108"/>
      <c r="T22" s="147">
        <f t="shared" si="8"/>
        <v>3375.5200000000004</v>
      </c>
      <c r="U22" s="147"/>
    </row>
    <row r="23" spans="1:21" s="6" customFormat="1" ht="18" hidden="1">
      <c r="A23" s="8"/>
      <c r="B23" s="196" t="s">
        <v>112</v>
      </c>
      <c r="C23" s="197"/>
      <c r="D23" s="200">
        <v>2000</v>
      </c>
      <c r="E23" s="200">
        <v>1024.4</v>
      </c>
      <c r="F23" s="163">
        <v>668.85</v>
      </c>
      <c r="G23" s="200">
        <f t="shared" si="0"/>
        <v>-355.55000000000007</v>
      </c>
      <c r="H23" s="201">
        <f t="shared" si="3"/>
        <v>65.29187817258882</v>
      </c>
      <c r="I23" s="202">
        <f t="shared" si="4"/>
        <v>-1331.15</v>
      </c>
      <c r="J23" s="202">
        <f t="shared" si="5"/>
        <v>33.4425</v>
      </c>
      <c r="K23" s="218">
        <v>574.07</v>
      </c>
      <c r="L23" s="218">
        <f t="shared" si="1"/>
        <v>94.77999999999997</v>
      </c>
      <c r="M23" s="220">
        <f t="shared" si="2"/>
        <v>1.1651018168516034</v>
      </c>
      <c r="N23" s="198">
        <f>E23-серпень!E23</f>
        <v>150.0000000000001</v>
      </c>
      <c r="O23" s="198">
        <f>F23-серпень!F23</f>
        <v>45.210000000000036</v>
      </c>
      <c r="P23" s="199">
        <f t="shared" si="6"/>
        <v>-104.79000000000008</v>
      </c>
      <c r="Q23" s="199">
        <f t="shared" si="9"/>
        <v>30.14</v>
      </c>
      <c r="R23" s="107"/>
      <c r="S23" s="108"/>
      <c r="T23" s="147">
        <f t="shared" si="8"/>
        <v>975.5999999999999</v>
      </c>
      <c r="U23" s="147"/>
    </row>
    <row r="24" spans="1:21" s="6" customFormat="1" ht="18" hidden="1">
      <c r="A24" s="8"/>
      <c r="B24" s="196" t="s">
        <v>113</v>
      </c>
      <c r="C24" s="197"/>
      <c r="D24" s="200">
        <v>16500</v>
      </c>
      <c r="E24" s="200">
        <v>14100.08</v>
      </c>
      <c r="F24" s="163">
        <v>15089.97</v>
      </c>
      <c r="G24" s="200">
        <f t="shared" si="0"/>
        <v>989.8899999999994</v>
      </c>
      <c r="H24" s="201">
        <f t="shared" si="3"/>
        <v>107.02045662152271</v>
      </c>
      <c r="I24" s="202">
        <f t="shared" si="4"/>
        <v>-1410.0300000000007</v>
      </c>
      <c r="J24" s="202">
        <f t="shared" si="5"/>
        <v>91.45436363636364</v>
      </c>
      <c r="K24" s="218">
        <v>8557.61</v>
      </c>
      <c r="L24" s="218">
        <f t="shared" si="1"/>
        <v>6532.359999999999</v>
      </c>
      <c r="M24" s="220">
        <f t="shared" si="2"/>
        <v>1.7633392968363828</v>
      </c>
      <c r="N24" s="198">
        <f>E24-серпень!E24</f>
        <v>397.5799999999999</v>
      </c>
      <c r="O24" s="198">
        <f>F24-серпень!F24</f>
        <v>840.1399999999994</v>
      </c>
      <c r="P24" s="199">
        <f t="shared" si="6"/>
        <v>442.5599999999995</v>
      </c>
      <c r="Q24" s="199">
        <f t="shared" si="9"/>
        <v>211.31344635041995</v>
      </c>
      <c r="R24" s="107"/>
      <c r="S24" s="108"/>
      <c r="T24" s="147">
        <f t="shared" si="8"/>
        <v>2399.92</v>
      </c>
      <c r="U24" s="147"/>
    </row>
    <row r="25" spans="1:20" s="6" customFormat="1" ht="18">
      <c r="A25" s="8"/>
      <c r="B25" s="50" t="s">
        <v>76</v>
      </c>
      <c r="C25" s="123"/>
      <c r="D25" s="171">
        <v>1000</v>
      </c>
      <c r="E25" s="171">
        <v>927.34</v>
      </c>
      <c r="F25" s="172">
        <v>777.34</v>
      </c>
      <c r="G25" s="171">
        <f t="shared" si="0"/>
        <v>-150</v>
      </c>
      <c r="H25" s="173">
        <f t="shared" si="3"/>
        <v>83.82470291371018</v>
      </c>
      <c r="I25" s="174">
        <f t="shared" si="4"/>
        <v>-222.65999999999997</v>
      </c>
      <c r="J25" s="174">
        <f t="shared" si="5"/>
        <v>77.73400000000001</v>
      </c>
      <c r="K25" s="174">
        <v>3333.63</v>
      </c>
      <c r="L25" s="174">
        <f t="shared" si="1"/>
        <v>-2556.29</v>
      </c>
      <c r="M25" s="214">
        <f t="shared" si="2"/>
        <v>0.23318124686902866</v>
      </c>
      <c r="N25" s="173">
        <f>E25-серпень!E25</f>
        <v>34.200000000000045</v>
      </c>
      <c r="O25" s="176">
        <f>F25-серпень!F25</f>
        <v>108.34000000000003</v>
      </c>
      <c r="P25" s="177">
        <f t="shared" si="6"/>
        <v>74.13999999999999</v>
      </c>
      <c r="Q25" s="174"/>
      <c r="R25" s="107"/>
      <c r="S25" s="108"/>
      <c r="T25" s="147">
        <f t="shared" si="8"/>
        <v>72.65999999999997</v>
      </c>
    </row>
    <row r="26" spans="1:20" s="6" customFormat="1" ht="18">
      <c r="A26" s="8"/>
      <c r="B26" s="50" t="s">
        <v>77</v>
      </c>
      <c r="C26" s="123"/>
      <c r="D26" s="171">
        <v>155399.65</v>
      </c>
      <c r="E26" s="171">
        <v>118028.97</v>
      </c>
      <c r="F26" s="172">
        <v>119279.65</v>
      </c>
      <c r="G26" s="171">
        <f t="shared" si="0"/>
        <v>1250.679999999993</v>
      </c>
      <c r="H26" s="173">
        <f t="shared" si="3"/>
        <v>101.05963815493773</v>
      </c>
      <c r="I26" s="174">
        <f t="shared" si="4"/>
        <v>-36120</v>
      </c>
      <c r="J26" s="174">
        <f t="shared" si="5"/>
        <v>76.7567044069919</v>
      </c>
      <c r="K26" s="175">
        <v>76514.01</v>
      </c>
      <c r="L26" s="175">
        <f t="shared" si="1"/>
        <v>42765.64</v>
      </c>
      <c r="M26" s="213">
        <f t="shared" si="2"/>
        <v>1.558925613753612</v>
      </c>
      <c r="N26" s="173">
        <f>E26-серпень!E26</f>
        <v>12730.050000000003</v>
      </c>
      <c r="O26" s="176">
        <f>F26-серпень!F26</f>
        <v>13142.149999999994</v>
      </c>
      <c r="P26" s="177">
        <f t="shared" si="6"/>
        <v>412.09999999999127</v>
      </c>
      <c r="Q26" s="174">
        <f>O26/N26*100</f>
        <v>103.23722216330644</v>
      </c>
      <c r="R26" s="107"/>
      <c r="S26" s="108"/>
      <c r="T26" s="147">
        <f t="shared" si="8"/>
        <v>37370.67999999999</v>
      </c>
    </row>
    <row r="27" spans="1:20" s="6" customFormat="1" ht="18" hidden="1">
      <c r="A27" s="8"/>
      <c r="B27" s="196" t="s">
        <v>114</v>
      </c>
      <c r="C27" s="197"/>
      <c r="D27" s="200">
        <v>47367</v>
      </c>
      <c r="E27" s="200">
        <v>36881.8</v>
      </c>
      <c r="F27" s="163">
        <v>37996.12</v>
      </c>
      <c r="G27" s="200">
        <f t="shared" si="0"/>
        <v>1114.3199999999997</v>
      </c>
      <c r="H27" s="201">
        <f t="shared" si="3"/>
        <v>103.0213275924711</v>
      </c>
      <c r="I27" s="202">
        <f t="shared" si="4"/>
        <v>-9370.879999999997</v>
      </c>
      <c r="J27" s="202">
        <f t="shared" si="5"/>
        <v>80.21643760423925</v>
      </c>
      <c r="K27" s="218">
        <v>20770.43</v>
      </c>
      <c r="L27" s="218">
        <f t="shared" si="1"/>
        <v>17225.690000000002</v>
      </c>
      <c r="M27" s="220">
        <f t="shared" si="2"/>
        <v>1.8293371875305424</v>
      </c>
      <c r="N27" s="198">
        <f>E27-серпень!E27</f>
        <v>3590.050000000003</v>
      </c>
      <c r="O27" s="198">
        <f>F27-серпень!F27</f>
        <v>3958.300000000003</v>
      </c>
      <c r="P27" s="199">
        <f t="shared" si="6"/>
        <v>368.25</v>
      </c>
      <c r="Q27" s="199">
        <f>O27/N27*100</f>
        <v>110.25751730477292</v>
      </c>
      <c r="R27" s="107"/>
      <c r="S27" s="108"/>
      <c r="T27" s="147">
        <f t="shared" si="8"/>
        <v>10485.199999999997</v>
      </c>
    </row>
    <row r="28" spans="1:20" s="6" customFormat="1" ht="18" hidden="1">
      <c r="A28" s="8"/>
      <c r="B28" s="196" t="s">
        <v>115</v>
      </c>
      <c r="C28" s="197"/>
      <c r="D28" s="200">
        <v>108032.65</v>
      </c>
      <c r="E28" s="200">
        <v>81147.17</v>
      </c>
      <c r="F28" s="163">
        <v>81283.52</v>
      </c>
      <c r="G28" s="200">
        <f t="shared" si="0"/>
        <v>136.35000000000582</v>
      </c>
      <c r="H28" s="201">
        <f t="shared" si="3"/>
        <v>100.16802804090396</v>
      </c>
      <c r="I28" s="202">
        <f t="shared" si="4"/>
        <v>-26749.12999999999</v>
      </c>
      <c r="J28" s="202">
        <f t="shared" si="5"/>
        <v>75.23977242065247</v>
      </c>
      <c r="K28" s="218">
        <v>55743.59</v>
      </c>
      <c r="L28" s="218">
        <f t="shared" si="1"/>
        <v>25539.930000000008</v>
      </c>
      <c r="M28" s="220">
        <f t="shared" si="2"/>
        <v>1.4581680153718124</v>
      </c>
      <c r="N28" s="198">
        <f>E28-серпень!E28</f>
        <v>9140</v>
      </c>
      <c r="O28" s="198">
        <f>F28-серпень!F28</f>
        <v>9183.850000000006</v>
      </c>
      <c r="P28" s="199">
        <f t="shared" si="6"/>
        <v>43.85000000000582</v>
      </c>
      <c r="Q28" s="199">
        <f>O28/N28*100</f>
        <v>100.47975929978124</v>
      </c>
      <c r="R28" s="107"/>
      <c r="S28" s="108"/>
      <c r="T28" s="147">
        <f t="shared" si="8"/>
        <v>26885.479999999996</v>
      </c>
    </row>
    <row r="29" spans="1:20" s="6" customFormat="1" ht="18">
      <c r="A29" s="8"/>
      <c r="B29" s="44" t="s">
        <v>125</v>
      </c>
      <c r="C29" s="227">
        <v>18020000</v>
      </c>
      <c r="D29" s="162">
        <v>0</v>
      </c>
      <c r="E29" s="162">
        <v>0</v>
      </c>
      <c r="F29" s="201">
        <v>0.15</v>
      </c>
      <c r="G29" s="150">
        <f t="shared" si="0"/>
        <v>0.15</v>
      </c>
      <c r="H29" s="157"/>
      <c r="I29" s="158">
        <f t="shared" si="4"/>
        <v>0.15</v>
      </c>
      <c r="J29" s="158"/>
      <c r="K29" s="167">
        <v>0</v>
      </c>
      <c r="L29" s="158">
        <f t="shared" si="1"/>
        <v>0.15</v>
      </c>
      <c r="M29" s="212"/>
      <c r="N29" s="157">
        <f>E29-серпень!E29</f>
        <v>0</v>
      </c>
      <c r="O29" s="160">
        <f>F29-серпень!F29</f>
        <v>0</v>
      </c>
      <c r="P29" s="161">
        <f t="shared" si="6"/>
        <v>0</v>
      </c>
      <c r="Q29" s="158"/>
      <c r="R29" s="107"/>
      <c r="S29" s="108"/>
      <c r="T29" s="147">
        <f t="shared" si="8"/>
        <v>0</v>
      </c>
    </row>
    <row r="30" spans="1:20" s="6" customFormat="1" ht="18">
      <c r="A30" s="8"/>
      <c r="B30" s="44" t="s">
        <v>83</v>
      </c>
      <c r="C30" s="114">
        <v>18030000</v>
      </c>
      <c r="D30" s="150">
        <v>77</v>
      </c>
      <c r="E30" s="150">
        <v>55.31</v>
      </c>
      <c r="F30" s="156">
        <v>87.95</v>
      </c>
      <c r="G30" s="150">
        <f t="shared" si="0"/>
        <v>32.64</v>
      </c>
      <c r="H30" s="157">
        <f t="shared" si="3"/>
        <v>159.01283673838364</v>
      </c>
      <c r="I30" s="158">
        <f t="shared" si="4"/>
        <v>10.950000000000003</v>
      </c>
      <c r="J30" s="158">
        <f t="shared" si="5"/>
        <v>114.22077922077922</v>
      </c>
      <c r="K30" s="158">
        <v>55.85</v>
      </c>
      <c r="L30" s="158">
        <f t="shared" si="1"/>
        <v>32.1</v>
      </c>
      <c r="M30" s="212">
        <f>F30/K30</f>
        <v>1.5747538048343779</v>
      </c>
      <c r="N30" s="157">
        <f>E30-серпень!E30</f>
        <v>7</v>
      </c>
      <c r="O30" s="160">
        <f>F30-серпень!F30</f>
        <v>2</v>
      </c>
      <c r="P30" s="161">
        <f t="shared" si="6"/>
        <v>-5</v>
      </c>
      <c r="Q30" s="158">
        <f>O30/N30*100</f>
        <v>28.57142857142857</v>
      </c>
      <c r="R30" s="107"/>
      <c r="S30" s="108"/>
      <c r="T30" s="147">
        <f t="shared" si="8"/>
        <v>21.689999999999998</v>
      </c>
    </row>
    <row r="31" spans="1:20" s="6" customFormat="1" ht="49.5" customHeight="1">
      <c r="A31" s="8"/>
      <c r="B31" s="44" t="s">
        <v>84</v>
      </c>
      <c r="C31" s="114">
        <v>18040000</v>
      </c>
      <c r="D31" s="150"/>
      <c r="E31" s="150"/>
      <c r="F31" s="156">
        <v>-160.1</v>
      </c>
      <c r="G31" s="150">
        <f t="shared" si="0"/>
        <v>-160.1</v>
      </c>
      <c r="H31" s="157"/>
      <c r="I31" s="158">
        <f t="shared" si="4"/>
        <v>-160.1</v>
      </c>
      <c r="J31" s="158"/>
      <c r="K31" s="158">
        <v>-705.98</v>
      </c>
      <c r="L31" s="158">
        <f t="shared" si="1"/>
        <v>545.88</v>
      </c>
      <c r="M31" s="212">
        <f>F31/K31</f>
        <v>0.2267769625201847</v>
      </c>
      <c r="N31" s="157">
        <f>E31-серпень!E31</f>
        <v>0</v>
      </c>
      <c r="O31" s="160">
        <f>F31-серпень!F31</f>
        <v>-9.870000000000005</v>
      </c>
      <c r="P31" s="161">
        <f t="shared" si="6"/>
        <v>-9.870000000000005</v>
      </c>
      <c r="Q31" s="158"/>
      <c r="R31" s="107"/>
      <c r="S31" s="108"/>
      <c r="T31" s="147">
        <f t="shared" si="8"/>
        <v>0</v>
      </c>
    </row>
    <row r="32" spans="1:20" s="6" customFormat="1" ht="18">
      <c r="A32" s="8"/>
      <c r="B32" s="44" t="s">
        <v>85</v>
      </c>
      <c r="C32" s="114">
        <v>18050000</v>
      </c>
      <c r="D32" s="162">
        <f>118000+23000</f>
        <v>141000</v>
      </c>
      <c r="E32" s="162">
        <f>110699.84+1500-100</f>
        <v>112099.84</v>
      </c>
      <c r="F32" s="163">
        <v>112122.86</v>
      </c>
      <c r="G32" s="162">
        <f t="shared" si="0"/>
        <v>23.020000000004075</v>
      </c>
      <c r="H32" s="164">
        <f t="shared" si="3"/>
        <v>100.020535265706</v>
      </c>
      <c r="I32" s="165">
        <f t="shared" si="4"/>
        <v>-28877.14</v>
      </c>
      <c r="J32" s="165">
        <f t="shared" si="5"/>
        <v>79.51975886524822</v>
      </c>
      <c r="K32" s="178">
        <v>71777.4</v>
      </c>
      <c r="L32" s="178">
        <f>F32-K32</f>
        <v>40345.46000000001</v>
      </c>
      <c r="M32" s="231">
        <f>F32/K32</f>
        <v>1.5620914103882282</v>
      </c>
      <c r="N32" s="157">
        <f>E32-серпень!E32</f>
        <v>5584</v>
      </c>
      <c r="O32" s="160">
        <f>F32-серпень!F32</f>
        <v>5063.740000000005</v>
      </c>
      <c r="P32" s="167">
        <f t="shared" si="6"/>
        <v>-520.2599999999948</v>
      </c>
      <c r="Q32" s="165">
        <f>O32/N32*100</f>
        <v>90.6830229226362</v>
      </c>
      <c r="R32" s="107"/>
      <c r="S32" s="108"/>
      <c r="T32" s="147">
        <f t="shared" si="8"/>
        <v>28900.160000000003</v>
      </c>
    </row>
    <row r="33" spans="1:20" s="6" customFormat="1" ht="15" hidden="1">
      <c r="A33" s="8"/>
      <c r="B33" s="50" t="s">
        <v>92</v>
      </c>
      <c r="C33" s="102">
        <v>18050200</v>
      </c>
      <c r="D33" s="103">
        <v>0</v>
      </c>
      <c r="E33" s="103">
        <v>0</v>
      </c>
      <c r="F33" s="140">
        <v>0.23</v>
      </c>
      <c r="G33" s="103">
        <f t="shared" si="0"/>
        <v>0.23</v>
      </c>
      <c r="H33" s="105"/>
      <c r="I33" s="104">
        <f t="shared" si="4"/>
        <v>0.23</v>
      </c>
      <c r="J33" s="104"/>
      <c r="K33" s="127">
        <v>-1.17</v>
      </c>
      <c r="L33" s="127">
        <f t="shared" si="1"/>
        <v>1.4</v>
      </c>
      <c r="M33" s="221">
        <f aca="true" t="shared" si="10" ref="M33:M39">F33/K33</f>
        <v>-0.1965811965811966</v>
      </c>
      <c r="N33" s="105">
        <f>E33-серпень!E33</f>
        <v>0</v>
      </c>
      <c r="O33" s="144">
        <f>F33-серпень!F33</f>
        <v>0</v>
      </c>
      <c r="P33" s="106">
        <f t="shared" si="6"/>
        <v>0</v>
      </c>
      <c r="Q33" s="104"/>
      <c r="R33" s="107"/>
      <c r="S33" s="108"/>
      <c r="T33" s="147">
        <f t="shared" si="8"/>
        <v>0</v>
      </c>
    </row>
    <row r="34" spans="1:20" s="6" customFormat="1" ht="15" hidden="1">
      <c r="A34" s="8"/>
      <c r="B34" s="50" t="s">
        <v>93</v>
      </c>
      <c r="C34" s="102">
        <v>18050300</v>
      </c>
      <c r="D34" s="103">
        <f>28217+6000</f>
        <v>34217</v>
      </c>
      <c r="E34" s="103">
        <f>27862.97+500</f>
        <v>28362.97</v>
      </c>
      <c r="F34" s="140">
        <v>28340.41</v>
      </c>
      <c r="G34" s="103">
        <f t="shared" si="0"/>
        <v>-22.56000000000131</v>
      </c>
      <c r="H34" s="105">
        <f t="shared" si="3"/>
        <v>99.92045966977365</v>
      </c>
      <c r="I34" s="104">
        <f t="shared" si="4"/>
        <v>-5876.59</v>
      </c>
      <c r="J34" s="104">
        <f t="shared" si="5"/>
        <v>82.82552532366952</v>
      </c>
      <c r="K34" s="127">
        <v>17739.76</v>
      </c>
      <c r="L34" s="127">
        <f t="shared" si="1"/>
        <v>10600.650000000001</v>
      </c>
      <c r="M34" s="221">
        <f t="shared" si="10"/>
        <v>1.597564454085061</v>
      </c>
      <c r="N34" s="105">
        <f>E34-серпень!E34</f>
        <v>1400</v>
      </c>
      <c r="O34" s="144">
        <f>F34-серпень!F34</f>
        <v>957.3299999999981</v>
      </c>
      <c r="P34" s="106">
        <f t="shared" si="6"/>
        <v>-442.6700000000019</v>
      </c>
      <c r="Q34" s="104">
        <f>O34/N34*100</f>
        <v>68.38071428571415</v>
      </c>
      <c r="R34" s="107"/>
      <c r="S34" s="108"/>
      <c r="T34" s="147">
        <f t="shared" si="8"/>
        <v>5854.029999999999</v>
      </c>
    </row>
    <row r="35" spans="1:20" s="6" customFormat="1" ht="15" hidden="1">
      <c r="A35" s="8"/>
      <c r="B35" s="50" t="s">
        <v>94</v>
      </c>
      <c r="C35" s="102">
        <v>18050400</v>
      </c>
      <c r="D35" s="103">
        <f>89732+17000</f>
        <v>106732</v>
      </c>
      <c r="E35" s="103">
        <f>82820.08+1000-100</f>
        <v>83720.08</v>
      </c>
      <c r="F35" s="140">
        <v>83755.8</v>
      </c>
      <c r="G35" s="103">
        <f t="shared" si="0"/>
        <v>35.720000000001164</v>
      </c>
      <c r="H35" s="105">
        <f t="shared" si="3"/>
        <v>100.04266598885239</v>
      </c>
      <c r="I35" s="104">
        <f t="shared" si="4"/>
        <v>-22976.199999999997</v>
      </c>
      <c r="J35" s="104">
        <f t="shared" si="5"/>
        <v>78.47299778885433</v>
      </c>
      <c r="K35" s="127">
        <v>54015.97</v>
      </c>
      <c r="L35" s="127">
        <f t="shared" si="1"/>
        <v>29739.83</v>
      </c>
      <c r="M35" s="221">
        <f t="shared" si="10"/>
        <v>1.550574765203698</v>
      </c>
      <c r="N35" s="105">
        <f>E35-серпень!E35</f>
        <v>4184</v>
      </c>
      <c r="O35" s="144">
        <f>F35-серпень!F35</f>
        <v>4105</v>
      </c>
      <c r="P35" s="106">
        <f t="shared" si="6"/>
        <v>-79</v>
      </c>
      <c r="Q35" s="104">
        <f>O35/N35*100</f>
        <v>98.11185468451242</v>
      </c>
      <c r="R35" s="107"/>
      <c r="S35" s="108"/>
      <c r="T35" s="147">
        <f t="shared" si="8"/>
        <v>23011.92</v>
      </c>
    </row>
    <row r="36" spans="1:20" s="6" customFormat="1" ht="15" hidden="1">
      <c r="A36" s="8"/>
      <c r="B36" s="50" t="s">
        <v>95</v>
      </c>
      <c r="C36" s="102">
        <v>18050500</v>
      </c>
      <c r="D36" s="103">
        <v>51</v>
      </c>
      <c r="E36" s="103">
        <v>16.79</v>
      </c>
      <c r="F36" s="140">
        <v>26.42</v>
      </c>
      <c r="G36" s="103">
        <f t="shared" si="0"/>
        <v>9.630000000000003</v>
      </c>
      <c r="H36" s="105">
        <f t="shared" si="3"/>
        <v>157.35556879094702</v>
      </c>
      <c r="I36" s="104">
        <f t="shared" si="4"/>
        <v>-24.58</v>
      </c>
      <c r="J36" s="104">
        <f t="shared" si="5"/>
        <v>51.80392156862745</v>
      </c>
      <c r="K36" s="127">
        <v>22.84</v>
      </c>
      <c r="L36" s="127">
        <f t="shared" si="1"/>
        <v>3.580000000000002</v>
      </c>
      <c r="M36" s="221">
        <f t="shared" si="10"/>
        <v>1.1567425569176883</v>
      </c>
      <c r="N36" s="105">
        <f>E36-серпень!E36</f>
        <v>0</v>
      </c>
      <c r="O36" s="144">
        <f>F36-серпень!F36</f>
        <v>1.4200000000000017</v>
      </c>
      <c r="P36" s="106">
        <f t="shared" si="6"/>
        <v>1.4200000000000017</v>
      </c>
      <c r="Q36" s="104"/>
      <c r="R36" s="107"/>
      <c r="S36" s="108"/>
      <c r="T36" s="147">
        <f t="shared" si="8"/>
        <v>34.21</v>
      </c>
    </row>
    <row r="37" spans="1:20" s="6" customFormat="1" ht="15" customHeight="1" hidden="1">
      <c r="A37" s="8"/>
      <c r="B37" s="44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 t="shared" si="0"/>
        <v>0</v>
      </c>
      <c r="H37" s="30"/>
      <c r="I37" s="37">
        <f t="shared" si="4"/>
        <v>0</v>
      </c>
      <c r="J37" s="37"/>
      <c r="K37" s="119">
        <v>5579.18</v>
      </c>
      <c r="L37" s="119">
        <f t="shared" si="1"/>
        <v>-5579.18</v>
      </c>
      <c r="M37" s="222">
        <f t="shared" si="10"/>
        <v>0</v>
      </c>
      <c r="N37" s="30">
        <v>0</v>
      </c>
      <c r="O37" s="144">
        <f>F37-серпень!F37</f>
        <v>0</v>
      </c>
      <c r="P37" s="36">
        <f t="shared" si="6"/>
        <v>0</v>
      </c>
      <c r="Q37" s="37"/>
      <c r="R37" s="107"/>
      <c r="S37" s="108"/>
      <c r="T37" s="147">
        <f t="shared" si="8"/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61842.48</v>
      </c>
      <c r="E38" s="151">
        <f>E39+E40+E41+E42+E43+E45+E47+E48+E49+E50+E51+E56+E57+E61+E44</f>
        <v>49125.03</v>
      </c>
      <c r="F38" s="151">
        <f>F39+F40+F41+F42+F43+F45+F47+F48+F49+F50+F51+F56+F57+F61+F44</f>
        <v>49446.89000000001</v>
      </c>
      <c r="G38" s="151">
        <f>G39+G40+G41+G42+G43+G45+G47+G48+G49+G50+G51+G56+G57+G61</f>
        <v>294.7100000000019</v>
      </c>
      <c r="H38" s="152">
        <f>F38/E38*100</f>
        <v>100.65518535052296</v>
      </c>
      <c r="I38" s="153">
        <f>F38-D38</f>
        <v>-12395.589999999997</v>
      </c>
      <c r="J38" s="153">
        <f>F38/D38*100</f>
        <v>79.95618869100981</v>
      </c>
      <c r="K38" s="151">
        <v>28244.63</v>
      </c>
      <c r="L38" s="151">
        <f t="shared" si="1"/>
        <v>21202.260000000006</v>
      </c>
      <c r="M38" s="207">
        <f t="shared" si="10"/>
        <v>1.7506651706890834</v>
      </c>
      <c r="N38" s="151">
        <f>N39+N40+N41+N42+N43+N45+N47+N48+N49+N50+N51+N56+N57+N61+N44</f>
        <v>6064</v>
      </c>
      <c r="O38" s="151">
        <f>O39+O40+O41+O42+O43+O45+O47+O48+O49+O50+O51+O56+O57+O61+O44</f>
        <v>6458.610000000001</v>
      </c>
      <c r="P38" s="151">
        <f>P39+P40+P41+P42+P43+P45+P47+P48+P49+P50+P51+P56+P57+P61</f>
        <v>394.61000000000104</v>
      </c>
      <c r="Q38" s="151">
        <f>O38/N38*100</f>
        <v>106.50742084432719</v>
      </c>
      <c r="R38" s="15" t="e">
        <f>#N/A</f>
        <v>#N/A</v>
      </c>
      <c r="S38" s="15" t="e">
        <f>#N/A</f>
        <v>#N/A</v>
      </c>
      <c r="T38" s="147">
        <f t="shared" si="8"/>
        <v>12717.450000000004</v>
      </c>
    </row>
    <row r="39" spans="1:20" s="6" customFormat="1" ht="46.5">
      <c r="A39" s="8"/>
      <c r="B39" s="44" t="s">
        <v>100</v>
      </c>
      <c r="C39" s="43">
        <v>21010301</v>
      </c>
      <c r="D39" s="150">
        <v>400</v>
      </c>
      <c r="E39" s="150">
        <v>383</v>
      </c>
      <c r="F39" s="156">
        <v>420.88</v>
      </c>
      <c r="G39" s="162">
        <f>F39-E39</f>
        <v>37.879999999999995</v>
      </c>
      <c r="H39" s="164">
        <f aca="true" t="shared" si="11" ref="H39:H62">F39/E39*100</f>
        <v>109.89033942558746</v>
      </c>
      <c r="I39" s="165">
        <f>F39-D39</f>
        <v>20.879999999999995</v>
      </c>
      <c r="J39" s="165">
        <f>F39/D39*100</f>
        <v>105.22</v>
      </c>
      <c r="K39" s="165">
        <v>-60.36</v>
      </c>
      <c r="L39" s="165">
        <f t="shared" si="1"/>
        <v>481.24</v>
      </c>
      <c r="M39" s="223">
        <f t="shared" si="10"/>
        <v>-6.972829688535454</v>
      </c>
      <c r="N39" s="164">
        <f>E39-серпень!E39</f>
        <v>3</v>
      </c>
      <c r="O39" s="168">
        <f>F39-серпень!F39</f>
        <v>4.0400000000000205</v>
      </c>
      <c r="P39" s="167">
        <f>O39-N39</f>
        <v>1.0400000000000205</v>
      </c>
      <c r="Q39" s="165">
        <f aca="true" t="shared" si="12" ref="Q39:Q62">O39/N39*100</f>
        <v>134.66666666666737</v>
      </c>
      <c r="R39" s="37"/>
      <c r="S39" s="94"/>
      <c r="T39" s="147">
        <f t="shared" si="8"/>
        <v>17</v>
      </c>
    </row>
    <row r="40" spans="1:20" s="6" customFormat="1" ht="30.75">
      <c r="A40" s="8"/>
      <c r="B40" s="129" t="s">
        <v>78</v>
      </c>
      <c r="C40" s="42">
        <v>21050000</v>
      </c>
      <c r="D40" s="150">
        <f>25000+5007</f>
        <v>30007</v>
      </c>
      <c r="E40" s="150">
        <f>23237+929</f>
        <v>24166</v>
      </c>
      <c r="F40" s="156">
        <v>24166.13</v>
      </c>
      <c r="G40" s="162">
        <f aca="true" t="shared" si="13" ref="G40:G63">F40-E40</f>
        <v>0.13000000000101863</v>
      </c>
      <c r="H40" s="164">
        <f t="shared" si="11"/>
        <v>100.00053794587438</v>
      </c>
      <c r="I40" s="165">
        <f aca="true" t="shared" si="14" ref="I40:I63">F40-D40</f>
        <v>-5840.869999999999</v>
      </c>
      <c r="J40" s="165">
        <f>F40/D40*100</f>
        <v>80.53497517245977</v>
      </c>
      <c r="K40" s="165">
        <v>4154.01</v>
      </c>
      <c r="L40" s="165">
        <f t="shared" si="1"/>
        <v>20012.120000000003</v>
      </c>
      <c r="M40" s="223"/>
      <c r="N40" s="164">
        <f>E40-серпень!E40</f>
        <v>3699</v>
      </c>
      <c r="O40" s="168">
        <f>F40-серпень!F40-0.01</f>
        <v>3605.9400000000005</v>
      </c>
      <c r="P40" s="167">
        <f aca="true" t="shared" si="15" ref="P40:P63">O40-N40</f>
        <v>-93.05999999999949</v>
      </c>
      <c r="Q40" s="165">
        <f t="shared" si="12"/>
        <v>97.48418491484186</v>
      </c>
      <c r="R40" s="37"/>
      <c r="S40" s="94"/>
      <c r="T40" s="147">
        <f t="shared" si="8"/>
        <v>5841</v>
      </c>
    </row>
    <row r="41" spans="1:20" s="6" customFormat="1" ht="18">
      <c r="A41" s="8"/>
      <c r="B41" s="129" t="s">
        <v>61</v>
      </c>
      <c r="C41" s="42">
        <v>21080500</v>
      </c>
      <c r="D41" s="150">
        <v>111.44</v>
      </c>
      <c r="E41" s="150">
        <v>111.44</v>
      </c>
      <c r="F41" s="156">
        <v>31.98</v>
      </c>
      <c r="G41" s="162">
        <f t="shared" si="13"/>
        <v>-79.46</v>
      </c>
      <c r="H41" s="164">
        <f t="shared" si="11"/>
        <v>28.697056712132092</v>
      </c>
      <c r="I41" s="165">
        <f t="shared" si="14"/>
        <v>-79.46</v>
      </c>
      <c r="J41" s="165">
        <f aca="true" t="shared" si="16" ref="J41:J62">F41/D41*100</f>
        <v>28.697056712132092</v>
      </c>
      <c r="K41" s="165">
        <v>321.98</v>
      </c>
      <c r="L41" s="165">
        <f t="shared" si="1"/>
        <v>-290</v>
      </c>
      <c r="M41" s="223">
        <f aca="true" t="shared" si="17" ref="M41:M63">F41/K41</f>
        <v>0.0993229393130008</v>
      </c>
      <c r="N41" s="164">
        <f>E41-серпень!E41</f>
        <v>0</v>
      </c>
      <c r="O41" s="168">
        <f>F41-серпень!F41</f>
        <v>3.91</v>
      </c>
      <c r="P41" s="167">
        <f t="shared" si="15"/>
        <v>3.91</v>
      </c>
      <c r="Q41" s="165"/>
      <c r="R41" s="37"/>
      <c r="S41" s="94"/>
      <c r="T41" s="147">
        <f t="shared" si="8"/>
        <v>0</v>
      </c>
    </row>
    <row r="42" spans="1:20" s="6" customFormat="1" ht="31.5">
      <c r="A42" s="8"/>
      <c r="B42" s="26" t="s">
        <v>39</v>
      </c>
      <c r="C42" s="71">
        <v>21080900</v>
      </c>
      <c r="D42" s="150">
        <f>6.5-6.5</f>
        <v>0</v>
      </c>
      <c r="E42" s="150">
        <v>0</v>
      </c>
      <c r="F42" s="156">
        <v>0.1</v>
      </c>
      <c r="G42" s="162">
        <f t="shared" si="13"/>
        <v>0.1</v>
      </c>
      <c r="H42" s="164"/>
      <c r="I42" s="165">
        <f t="shared" si="14"/>
        <v>0.1</v>
      </c>
      <c r="J42" s="165"/>
      <c r="K42" s="165">
        <v>0</v>
      </c>
      <c r="L42" s="165">
        <f t="shared" si="1"/>
        <v>0.1</v>
      </c>
      <c r="M42" s="223"/>
      <c r="N42" s="164">
        <f>E42-серпень!E42</f>
        <v>0</v>
      </c>
      <c r="O42" s="168">
        <f>F42-серпень!F42</f>
        <v>0</v>
      </c>
      <c r="P42" s="167">
        <f t="shared" si="15"/>
        <v>0</v>
      </c>
      <c r="Q42" s="165"/>
      <c r="R42" s="37"/>
      <c r="S42" s="94"/>
      <c r="T42" s="147">
        <f t="shared" si="8"/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150</v>
      </c>
      <c r="E43" s="150">
        <v>90</v>
      </c>
      <c r="F43" s="156">
        <v>197.12</v>
      </c>
      <c r="G43" s="162">
        <f t="shared" si="13"/>
        <v>107.12</v>
      </c>
      <c r="H43" s="164">
        <f t="shared" si="11"/>
        <v>219.02222222222224</v>
      </c>
      <c r="I43" s="165">
        <f t="shared" si="14"/>
        <v>47.120000000000005</v>
      </c>
      <c r="J43" s="165">
        <f t="shared" si="16"/>
        <v>131.41333333333333</v>
      </c>
      <c r="K43" s="165">
        <v>117.11</v>
      </c>
      <c r="L43" s="165">
        <f t="shared" si="1"/>
        <v>80.01</v>
      </c>
      <c r="M43" s="223">
        <f t="shared" si="17"/>
        <v>1.6832038254632398</v>
      </c>
      <c r="N43" s="164">
        <f>E43-серпень!E43</f>
        <v>10</v>
      </c>
      <c r="O43" s="168">
        <f>F43-серпень!F43</f>
        <v>2</v>
      </c>
      <c r="P43" s="167">
        <f t="shared" si="15"/>
        <v>-8</v>
      </c>
      <c r="Q43" s="165">
        <f t="shared" si="12"/>
        <v>20</v>
      </c>
      <c r="R43" s="37"/>
      <c r="S43" s="94"/>
      <c r="T43" s="147">
        <f t="shared" si="8"/>
        <v>60</v>
      </c>
    </row>
    <row r="44" spans="1:20" s="6" customFormat="1" ht="46.5">
      <c r="A44" s="8"/>
      <c r="B44" s="130" t="s">
        <v>81</v>
      </c>
      <c r="C44" s="72">
        <v>21081500</v>
      </c>
      <c r="D44" s="150">
        <v>14</v>
      </c>
      <c r="E44" s="150">
        <v>14</v>
      </c>
      <c r="F44" s="156">
        <v>41.15</v>
      </c>
      <c r="G44" s="162">
        <f t="shared" si="13"/>
        <v>27.15</v>
      </c>
      <c r="H44" s="164"/>
      <c r="I44" s="165">
        <f t="shared" si="14"/>
        <v>27.15</v>
      </c>
      <c r="J44" s="165"/>
      <c r="K44" s="165">
        <v>4</v>
      </c>
      <c r="L44" s="165">
        <f t="shared" si="1"/>
        <v>37.15</v>
      </c>
      <c r="M44" s="223">
        <f t="shared" si="17"/>
        <v>10.2875</v>
      </c>
      <c r="N44" s="164">
        <f>E44-серпень!E44</f>
        <v>0</v>
      </c>
      <c r="O44" s="168">
        <f>F44-серпень!F44</f>
        <v>0</v>
      </c>
      <c r="P44" s="167"/>
      <c r="Q44" s="165"/>
      <c r="R44" s="37"/>
      <c r="S44" s="94"/>
      <c r="T44" s="147">
        <f t="shared" si="8"/>
        <v>0</v>
      </c>
    </row>
    <row r="45" spans="1:20" s="6" customFormat="1" ht="30.75">
      <c r="A45" s="8"/>
      <c r="B45" s="148" t="s">
        <v>108</v>
      </c>
      <c r="C45" s="49">
        <v>22010300</v>
      </c>
      <c r="D45" s="150">
        <v>300</v>
      </c>
      <c r="E45" s="150">
        <v>264</v>
      </c>
      <c r="F45" s="156">
        <v>428.63</v>
      </c>
      <c r="G45" s="162">
        <f t="shared" si="13"/>
        <v>164.63</v>
      </c>
      <c r="H45" s="164">
        <f t="shared" si="11"/>
        <v>162.35984848484847</v>
      </c>
      <c r="I45" s="165">
        <f t="shared" si="14"/>
        <v>128.63</v>
      </c>
      <c r="J45" s="165">
        <f t="shared" si="16"/>
        <v>142.87666666666667</v>
      </c>
      <c r="K45" s="165">
        <v>0</v>
      </c>
      <c r="L45" s="165">
        <f t="shared" si="1"/>
        <v>428.63</v>
      </c>
      <c r="M45" s="223"/>
      <c r="N45" s="164">
        <f>E45-серпень!E45</f>
        <v>8</v>
      </c>
      <c r="O45" s="168">
        <f>F45-серпень!F45</f>
        <v>100.51999999999998</v>
      </c>
      <c r="P45" s="167">
        <f t="shared" si="15"/>
        <v>92.51999999999998</v>
      </c>
      <c r="Q45" s="165">
        <f t="shared" si="12"/>
        <v>1256.4999999999998</v>
      </c>
      <c r="R45" s="37"/>
      <c r="S45" s="94"/>
      <c r="T45" s="147">
        <f t="shared" si="8"/>
        <v>36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 t="shared" si="1"/>
        <v>0</v>
      </c>
      <c r="M46" s="223" t="e">
        <f t="shared" si="17"/>
        <v>#DIV/0!</v>
      </c>
      <c r="N46" s="164">
        <f>E46-серпень!E46</f>
        <v>0</v>
      </c>
      <c r="O46" s="168">
        <f>F46-серпень!F46</f>
        <v>0</v>
      </c>
      <c r="P46" s="167"/>
      <c r="Q46" s="165"/>
      <c r="R46" s="37"/>
      <c r="S46" s="94"/>
      <c r="T46" s="147">
        <f t="shared" si="8"/>
        <v>0</v>
      </c>
    </row>
    <row r="47" spans="1:20" s="6" customFormat="1" ht="18">
      <c r="A47" s="8"/>
      <c r="B47" s="33" t="s">
        <v>79</v>
      </c>
      <c r="C47" s="72">
        <v>22012500</v>
      </c>
      <c r="D47" s="150">
        <v>9900</v>
      </c>
      <c r="E47" s="150">
        <v>7849.02</v>
      </c>
      <c r="F47" s="156">
        <v>8067.74</v>
      </c>
      <c r="G47" s="162">
        <f t="shared" si="13"/>
        <v>218.71999999999935</v>
      </c>
      <c r="H47" s="164">
        <f t="shared" si="11"/>
        <v>102.78658991823181</v>
      </c>
      <c r="I47" s="165">
        <f t="shared" si="14"/>
        <v>-1832.2600000000002</v>
      </c>
      <c r="J47" s="165">
        <f t="shared" si="16"/>
        <v>81.49232323232323</v>
      </c>
      <c r="K47" s="165">
        <v>7605.46</v>
      </c>
      <c r="L47" s="165">
        <f t="shared" si="1"/>
        <v>462.27999999999975</v>
      </c>
      <c r="M47" s="223">
        <f t="shared" si="17"/>
        <v>1.0607826482553324</v>
      </c>
      <c r="N47" s="164">
        <f>E47-серпень!E47</f>
        <v>800</v>
      </c>
      <c r="O47" s="168">
        <f>F47-серпень!F47</f>
        <v>1005.0999999999995</v>
      </c>
      <c r="P47" s="167">
        <f t="shared" si="15"/>
        <v>205.09999999999945</v>
      </c>
      <c r="Q47" s="165">
        <f t="shared" si="12"/>
        <v>125.63749999999993</v>
      </c>
      <c r="R47" s="37"/>
      <c r="S47" s="94"/>
      <c r="T47" s="147">
        <f t="shared" si="8"/>
        <v>2050.9799999999996</v>
      </c>
    </row>
    <row r="48" spans="1:20" s="6" customFormat="1" ht="31.5">
      <c r="A48" s="8"/>
      <c r="B48" s="149" t="s">
        <v>101</v>
      </c>
      <c r="C48" s="72">
        <v>22012600</v>
      </c>
      <c r="D48" s="150">
        <v>650</v>
      </c>
      <c r="E48" s="150">
        <v>650</v>
      </c>
      <c r="F48" s="156">
        <v>210.12</v>
      </c>
      <c r="G48" s="162">
        <f t="shared" si="13"/>
        <v>-439.88</v>
      </c>
      <c r="H48" s="164">
        <f t="shared" si="11"/>
        <v>32.32615384615385</v>
      </c>
      <c r="I48" s="165">
        <f t="shared" si="14"/>
        <v>-439.88</v>
      </c>
      <c r="J48" s="165">
        <f t="shared" si="16"/>
        <v>32.32615384615385</v>
      </c>
      <c r="K48" s="165">
        <v>0</v>
      </c>
      <c r="L48" s="165">
        <f t="shared" si="1"/>
        <v>210.12</v>
      </c>
      <c r="M48" s="223"/>
      <c r="N48" s="164">
        <f>E48-серпень!E48</f>
        <v>0</v>
      </c>
      <c r="O48" s="168">
        <f>F48-серпень!F48</f>
        <v>41.860000000000014</v>
      </c>
      <c r="P48" s="167">
        <f t="shared" si="15"/>
        <v>41.860000000000014</v>
      </c>
      <c r="Q48" s="165"/>
      <c r="R48" s="37"/>
      <c r="S48" s="94"/>
      <c r="T48" s="147">
        <f t="shared" si="8"/>
        <v>0</v>
      </c>
    </row>
    <row r="49" spans="1:20" s="6" customFormat="1" ht="31.5">
      <c r="A49" s="8"/>
      <c r="B49" s="149" t="s">
        <v>109</v>
      </c>
      <c r="C49" s="72">
        <v>22012900</v>
      </c>
      <c r="D49" s="150">
        <v>50</v>
      </c>
      <c r="E49" s="150">
        <v>32</v>
      </c>
      <c r="F49" s="156">
        <v>16.68</v>
      </c>
      <c r="G49" s="162">
        <f t="shared" si="13"/>
        <v>-15.32</v>
      </c>
      <c r="H49" s="164">
        <f t="shared" si="11"/>
        <v>52.125</v>
      </c>
      <c r="I49" s="165">
        <f t="shared" si="14"/>
        <v>-33.32</v>
      </c>
      <c r="J49" s="165">
        <f t="shared" si="16"/>
        <v>33.36</v>
      </c>
      <c r="K49" s="165">
        <v>0</v>
      </c>
      <c r="L49" s="165">
        <f t="shared" si="1"/>
        <v>16.68</v>
      </c>
      <c r="M49" s="223"/>
      <c r="N49" s="164">
        <f>E49-серпень!E49</f>
        <v>4</v>
      </c>
      <c r="O49" s="168">
        <f>F49-серпень!F49</f>
        <v>1.2400000000000002</v>
      </c>
      <c r="P49" s="167">
        <f t="shared" si="15"/>
        <v>-2.76</v>
      </c>
      <c r="Q49" s="165">
        <f t="shared" si="12"/>
        <v>31.000000000000007</v>
      </c>
      <c r="R49" s="37"/>
      <c r="S49" s="94"/>
      <c r="T49" s="147">
        <f t="shared" si="8"/>
        <v>18</v>
      </c>
    </row>
    <row r="50" spans="1:20" s="6" customFormat="1" ht="30.75">
      <c r="A50" s="8"/>
      <c r="B50" s="130" t="s">
        <v>14</v>
      </c>
      <c r="C50" s="49">
        <v>22080400</v>
      </c>
      <c r="D50" s="150">
        <v>8000</v>
      </c>
      <c r="E50" s="150">
        <v>5916.23</v>
      </c>
      <c r="F50" s="156">
        <v>5625.22</v>
      </c>
      <c r="G50" s="162">
        <f t="shared" si="13"/>
        <v>-291.0099999999993</v>
      </c>
      <c r="H50" s="164">
        <f t="shared" si="11"/>
        <v>95.08115810237264</v>
      </c>
      <c r="I50" s="165">
        <f t="shared" si="14"/>
        <v>-2374.7799999999997</v>
      </c>
      <c r="J50" s="165">
        <f t="shared" si="16"/>
        <v>70.31525</v>
      </c>
      <c r="K50" s="165">
        <v>6785.09</v>
      </c>
      <c r="L50" s="165">
        <f t="shared" si="1"/>
        <v>-1159.87</v>
      </c>
      <c r="M50" s="223">
        <f t="shared" si="17"/>
        <v>0.8290560626314464</v>
      </c>
      <c r="N50" s="164">
        <f>E50-серпень!E50</f>
        <v>650</v>
      </c>
      <c r="O50" s="168">
        <f>F50-серпень!F50</f>
        <v>557.0300000000007</v>
      </c>
      <c r="P50" s="167">
        <f t="shared" si="15"/>
        <v>-92.96999999999935</v>
      </c>
      <c r="Q50" s="165">
        <f t="shared" si="12"/>
        <v>85.69692307692318</v>
      </c>
      <c r="R50" s="37"/>
      <c r="S50" s="94"/>
      <c r="T50" s="147">
        <f t="shared" si="8"/>
        <v>2083.7700000000004</v>
      </c>
    </row>
    <row r="51" spans="1:20" s="6" customFormat="1" ht="18">
      <c r="A51" s="8"/>
      <c r="B51" s="130" t="s">
        <v>15</v>
      </c>
      <c r="C51" s="43">
        <v>22090000</v>
      </c>
      <c r="D51" s="150">
        <v>7000.04</v>
      </c>
      <c r="E51" s="150">
        <v>4911.19</v>
      </c>
      <c r="F51" s="156">
        <v>4925.62</v>
      </c>
      <c r="G51" s="162">
        <f t="shared" si="13"/>
        <v>14.430000000000291</v>
      </c>
      <c r="H51" s="164">
        <f t="shared" si="11"/>
        <v>100.29381880969785</v>
      </c>
      <c r="I51" s="165">
        <f t="shared" si="14"/>
        <v>-2074.42</v>
      </c>
      <c r="J51" s="165">
        <f t="shared" si="16"/>
        <v>70.36559791086908</v>
      </c>
      <c r="K51" s="165">
        <v>5721.95</v>
      </c>
      <c r="L51" s="165">
        <f t="shared" si="1"/>
        <v>-796.3299999999999</v>
      </c>
      <c r="M51" s="223">
        <f t="shared" si="17"/>
        <v>0.8608289132201435</v>
      </c>
      <c r="N51" s="164">
        <f>E51-серпень!E51</f>
        <v>520</v>
      </c>
      <c r="O51" s="168">
        <f>F51-серпень!F51</f>
        <v>578.0100000000002</v>
      </c>
      <c r="P51" s="167">
        <f t="shared" si="15"/>
        <v>58.01000000000022</v>
      </c>
      <c r="Q51" s="165">
        <f t="shared" si="12"/>
        <v>111.15576923076927</v>
      </c>
      <c r="R51" s="37"/>
      <c r="S51" s="94"/>
      <c r="T51" s="147">
        <f t="shared" si="8"/>
        <v>2088.8500000000004</v>
      </c>
    </row>
    <row r="52" spans="1:20" s="6" customFormat="1" ht="15">
      <c r="A52" s="8"/>
      <c r="B52" s="50" t="s">
        <v>99</v>
      </c>
      <c r="C52" s="123">
        <v>22090100</v>
      </c>
      <c r="D52" s="103">
        <v>970</v>
      </c>
      <c r="E52" s="103">
        <v>683.99</v>
      </c>
      <c r="F52" s="140">
        <v>643.11</v>
      </c>
      <c r="G52" s="34">
        <f t="shared" si="13"/>
        <v>-40.879999999999995</v>
      </c>
      <c r="H52" s="30">
        <f t="shared" si="11"/>
        <v>94.02330443427536</v>
      </c>
      <c r="I52" s="104">
        <f t="shared" si="14"/>
        <v>-326.89</v>
      </c>
      <c r="J52" s="104">
        <f t="shared" si="16"/>
        <v>66.3</v>
      </c>
      <c r="K52" s="104">
        <v>801.84</v>
      </c>
      <c r="L52" s="104">
        <f>F52-K52</f>
        <v>-158.73000000000002</v>
      </c>
      <c r="M52" s="109">
        <f t="shared" si="17"/>
        <v>0.8020428015564203</v>
      </c>
      <c r="N52" s="105">
        <f>E52-серпень!E52</f>
        <v>20</v>
      </c>
      <c r="O52" s="144">
        <f>F52-серпень!F52</f>
        <v>72.98000000000002</v>
      </c>
      <c r="P52" s="106">
        <f t="shared" si="15"/>
        <v>52.98000000000002</v>
      </c>
      <c r="Q52" s="119">
        <f t="shared" si="12"/>
        <v>364.9000000000001</v>
      </c>
      <c r="R52" s="37"/>
      <c r="S52" s="94"/>
      <c r="T52" s="147">
        <f t="shared" si="8"/>
        <v>286.01</v>
      </c>
    </row>
    <row r="53" spans="1:20" s="6" customFormat="1" ht="15">
      <c r="A53" s="8"/>
      <c r="B53" s="50" t="s">
        <v>96</v>
      </c>
      <c r="C53" s="123">
        <v>22090200</v>
      </c>
      <c r="D53" s="103">
        <v>5.04</v>
      </c>
      <c r="E53" s="103">
        <v>5.04</v>
      </c>
      <c r="F53" s="140">
        <v>0.27</v>
      </c>
      <c r="G53" s="34">
        <f t="shared" si="13"/>
        <v>-4.77</v>
      </c>
      <c r="H53" s="30">
        <f t="shared" si="11"/>
        <v>5.357142857142858</v>
      </c>
      <c r="I53" s="104">
        <f t="shared" si="14"/>
        <v>-4.77</v>
      </c>
      <c r="J53" s="104">
        <f t="shared" si="16"/>
        <v>5.357142857142858</v>
      </c>
      <c r="K53" s="104">
        <v>44.07</v>
      </c>
      <c r="L53" s="104">
        <f>F53-K53</f>
        <v>-43.8</v>
      </c>
      <c r="M53" s="109">
        <f t="shared" si="17"/>
        <v>0.006126616746085773</v>
      </c>
      <c r="N53" s="105">
        <f>E53-серпень!E53</f>
        <v>0</v>
      </c>
      <c r="O53" s="144">
        <f>F53-серпень!F53</f>
        <v>0</v>
      </c>
      <c r="P53" s="106">
        <f t="shared" si="15"/>
        <v>0</v>
      </c>
      <c r="Q53" s="119" t="e">
        <f t="shared" si="12"/>
        <v>#DIV/0!</v>
      </c>
      <c r="R53" s="37"/>
      <c r="S53" s="94"/>
      <c r="T53" s="147">
        <f t="shared" si="8"/>
        <v>0</v>
      </c>
    </row>
    <row r="54" spans="1:20" s="6" customFormat="1" ht="15">
      <c r="A54" s="8"/>
      <c r="B54" s="50" t="s">
        <v>97</v>
      </c>
      <c r="C54" s="123">
        <v>22090300</v>
      </c>
      <c r="D54" s="103">
        <v>1</v>
      </c>
      <c r="E54" s="103">
        <v>0</v>
      </c>
      <c r="F54" s="140">
        <v>0.02</v>
      </c>
      <c r="G54" s="34">
        <f t="shared" si="13"/>
        <v>0.02</v>
      </c>
      <c r="H54" s="30"/>
      <c r="I54" s="104">
        <f t="shared" si="14"/>
        <v>-0.98</v>
      </c>
      <c r="J54" s="104">
        <f t="shared" si="16"/>
        <v>2</v>
      </c>
      <c r="K54" s="104">
        <v>0.75</v>
      </c>
      <c r="L54" s="104">
        <f>F54-K54</f>
        <v>-0.73</v>
      </c>
      <c r="M54" s="109">
        <f t="shared" si="17"/>
        <v>0.02666666666666667</v>
      </c>
      <c r="N54" s="105">
        <f>E54-серпень!E54</f>
        <v>0</v>
      </c>
      <c r="O54" s="144">
        <f>F54-серпень!F54</f>
        <v>0</v>
      </c>
      <c r="P54" s="106">
        <f t="shared" si="15"/>
        <v>0</v>
      </c>
      <c r="Q54" s="119"/>
      <c r="R54" s="37"/>
      <c r="S54" s="94"/>
      <c r="T54" s="147">
        <f t="shared" si="8"/>
        <v>1</v>
      </c>
    </row>
    <row r="55" spans="1:20" s="6" customFormat="1" ht="15">
      <c r="A55" s="8"/>
      <c r="B55" s="50" t="s">
        <v>98</v>
      </c>
      <c r="C55" s="123">
        <v>22090400</v>
      </c>
      <c r="D55" s="103">
        <v>6024</v>
      </c>
      <c r="E55" s="103">
        <v>4222.17</v>
      </c>
      <c r="F55" s="140">
        <v>4282.22</v>
      </c>
      <c r="G55" s="34">
        <f t="shared" si="13"/>
        <v>60.05000000000018</v>
      </c>
      <c r="H55" s="30">
        <f t="shared" si="11"/>
        <v>101.42225443314695</v>
      </c>
      <c r="I55" s="104">
        <f t="shared" si="14"/>
        <v>-1741.7799999999997</v>
      </c>
      <c r="J55" s="104">
        <f t="shared" si="16"/>
        <v>71.08598937583001</v>
      </c>
      <c r="K55" s="104">
        <v>4875.29</v>
      </c>
      <c r="L55" s="104">
        <f>F55-K55</f>
        <v>-593.0699999999997</v>
      </c>
      <c r="M55" s="109">
        <f t="shared" si="17"/>
        <v>0.8783518518898363</v>
      </c>
      <c r="N55" s="105">
        <f>E55-серпень!E55</f>
        <v>500</v>
      </c>
      <c r="O55" s="144">
        <f>F55-серпень!F55</f>
        <v>505.0300000000002</v>
      </c>
      <c r="P55" s="106">
        <f t="shared" si="15"/>
        <v>5.0300000000002</v>
      </c>
      <c r="Q55" s="119">
        <f t="shared" si="12"/>
        <v>101.00600000000004</v>
      </c>
      <c r="R55" s="37"/>
      <c r="S55" s="94"/>
      <c r="T55" s="147">
        <f t="shared" si="8"/>
        <v>1801.83</v>
      </c>
    </row>
    <row r="56" spans="1:20" s="6" customFormat="1" ht="46.5">
      <c r="A56" s="8"/>
      <c r="B56" s="13" t="s">
        <v>17</v>
      </c>
      <c r="C56" s="11" t="s">
        <v>18</v>
      </c>
      <c r="D56" s="150">
        <v>10</v>
      </c>
      <c r="E56" s="150">
        <v>0.17</v>
      </c>
      <c r="F56" s="156">
        <v>2.46</v>
      </c>
      <c r="G56" s="162">
        <f t="shared" si="13"/>
        <v>2.29</v>
      </c>
      <c r="H56" s="164">
        <f t="shared" si="11"/>
        <v>1447.0588235294117</v>
      </c>
      <c r="I56" s="165">
        <f t="shared" si="14"/>
        <v>-7.54</v>
      </c>
      <c r="J56" s="165">
        <f t="shared" si="16"/>
        <v>24.6</v>
      </c>
      <c r="K56" s="165">
        <v>3.89</v>
      </c>
      <c r="L56" s="165">
        <f>F56-K56</f>
        <v>-1.4300000000000002</v>
      </c>
      <c r="M56" s="223">
        <f t="shared" si="17"/>
        <v>0.6323907455012853</v>
      </c>
      <c r="N56" s="164">
        <f>E56-серпень!E56</f>
        <v>0</v>
      </c>
      <c r="O56" s="168">
        <f>F56-серпень!F56</f>
        <v>0</v>
      </c>
      <c r="P56" s="167">
        <f t="shared" si="15"/>
        <v>0</v>
      </c>
      <c r="Q56" s="165"/>
      <c r="R56" s="37"/>
      <c r="S56" s="94"/>
      <c r="T56" s="147">
        <f t="shared" si="8"/>
        <v>9.83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5150</v>
      </c>
      <c r="E57" s="150">
        <v>4637.98</v>
      </c>
      <c r="F57" s="156">
        <v>5154.13</v>
      </c>
      <c r="G57" s="162">
        <f t="shared" si="13"/>
        <v>516.1500000000005</v>
      </c>
      <c r="H57" s="164">
        <f t="shared" si="11"/>
        <v>111.12876726505938</v>
      </c>
      <c r="I57" s="165">
        <f t="shared" si="14"/>
        <v>4.130000000000109</v>
      </c>
      <c r="J57" s="165">
        <f t="shared" si="16"/>
        <v>100.08019417475728</v>
      </c>
      <c r="K57" s="165">
        <v>3571.45</v>
      </c>
      <c r="L57" s="165">
        <f aca="true" t="shared" si="18" ref="L57:L63">F57-K57</f>
        <v>1582.6800000000003</v>
      </c>
      <c r="M57" s="223">
        <f t="shared" si="17"/>
        <v>1.4431477411135534</v>
      </c>
      <c r="N57" s="164">
        <f>E57-серпень!E57</f>
        <v>370</v>
      </c>
      <c r="O57" s="168">
        <f>F57-серпень!F57</f>
        <v>552.3000000000002</v>
      </c>
      <c r="P57" s="167">
        <f t="shared" si="15"/>
        <v>182.30000000000018</v>
      </c>
      <c r="Q57" s="165">
        <f t="shared" si="12"/>
        <v>149.27027027027032</v>
      </c>
      <c r="R57" s="37"/>
      <c r="S57" s="94"/>
      <c r="T57" s="147">
        <f t="shared" si="8"/>
        <v>512.0200000000004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 t="shared" si="13"/>
        <v>0</v>
      </c>
      <c r="H58" s="164" t="e">
        <f t="shared" si="11"/>
        <v>#DIV/0!</v>
      </c>
      <c r="I58" s="165">
        <f t="shared" si="14"/>
        <v>0</v>
      </c>
      <c r="J58" s="165" t="e">
        <f t="shared" si="16"/>
        <v>#DIV/0!</v>
      </c>
      <c r="K58" s="165"/>
      <c r="L58" s="165">
        <f t="shared" si="18"/>
        <v>0</v>
      </c>
      <c r="M58" s="223" t="e">
        <f t="shared" si="17"/>
        <v>#DIV/0!</v>
      </c>
      <c r="N58" s="164">
        <f>E58-серпень!E58</f>
        <v>0</v>
      </c>
      <c r="O58" s="168">
        <f>F58-серпень!F58</f>
        <v>0</v>
      </c>
      <c r="P58" s="167">
        <f t="shared" si="15"/>
        <v>0</v>
      </c>
      <c r="Q58" s="165" t="e">
        <f t="shared" si="12"/>
        <v>#DIV/0!</v>
      </c>
      <c r="R58" s="37"/>
      <c r="S58" s="94"/>
      <c r="T58" s="147">
        <f t="shared" si="8"/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3">
        <v>1002.35</v>
      </c>
      <c r="G59" s="162"/>
      <c r="H59" s="164"/>
      <c r="I59" s="165"/>
      <c r="J59" s="165"/>
      <c r="K59" s="166">
        <v>979.24</v>
      </c>
      <c r="L59" s="165">
        <f t="shared" si="18"/>
        <v>23.110000000000014</v>
      </c>
      <c r="M59" s="223">
        <f t="shared" si="17"/>
        <v>1.0235999346431928</v>
      </c>
      <c r="N59" s="164"/>
      <c r="O59" s="168">
        <f>F59-серпень!F59</f>
        <v>112.55000000000007</v>
      </c>
      <c r="P59" s="166"/>
      <c r="Q59" s="165"/>
      <c r="R59" s="37"/>
      <c r="S59" s="94"/>
      <c r="T59" s="147">
        <f t="shared" si="8"/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 t="shared" si="13"/>
        <v>0</v>
      </c>
      <c r="H60" s="164"/>
      <c r="I60" s="165">
        <f t="shared" si="14"/>
        <v>0</v>
      </c>
      <c r="J60" s="165"/>
      <c r="K60" s="166"/>
      <c r="L60" s="165">
        <f t="shared" si="18"/>
        <v>0</v>
      </c>
      <c r="M60" s="223" t="e">
        <f t="shared" si="17"/>
        <v>#DIV/0!</v>
      </c>
      <c r="N60" s="164">
        <f>E60-серпень!E60</f>
        <v>0</v>
      </c>
      <c r="O60" s="168">
        <f>F60-серпень!F60</f>
        <v>0</v>
      </c>
      <c r="P60" s="167">
        <f t="shared" si="15"/>
        <v>0</v>
      </c>
      <c r="Q60" s="165"/>
      <c r="R60" s="37"/>
      <c r="S60" s="94"/>
      <c r="T60" s="147">
        <f t="shared" si="8"/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100</v>
      </c>
      <c r="E61" s="150">
        <v>100</v>
      </c>
      <c r="F61" s="156">
        <v>158.93</v>
      </c>
      <c r="G61" s="162">
        <f t="shared" si="13"/>
        <v>58.93000000000001</v>
      </c>
      <c r="H61" s="164">
        <f t="shared" si="11"/>
        <v>158.93</v>
      </c>
      <c r="I61" s="165">
        <f t="shared" si="14"/>
        <v>58.93000000000001</v>
      </c>
      <c r="J61" s="165">
        <f t="shared" si="16"/>
        <v>158.93</v>
      </c>
      <c r="K61" s="165">
        <v>20.05</v>
      </c>
      <c r="L61" s="165">
        <f t="shared" si="18"/>
        <v>138.88</v>
      </c>
      <c r="M61" s="223">
        <f t="shared" si="17"/>
        <v>7.926683291770574</v>
      </c>
      <c r="N61" s="164">
        <f>E61-серпень!E61</f>
        <v>0</v>
      </c>
      <c r="O61" s="168">
        <f>F61-серпень!F61</f>
        <v>6.659999999999997</v>
      </c>
      <c r="P61" s="167">
        <f t="shared" si="15"/>
        <v>6.659999999999997</v>
      </c>
      <c r="Q61" s="165"/>
      <c r="R61" s="37"/>
      <c r="S61" s="94"/>
      <c r="T61" s="147">
        <f t="shared" si="8"/>
        <v>0</v>
      </c>
    </row>
    <row r="62" spans="1:20" s="6" customFormat="1" ht="30.75">
      <c r="A62" s="8"/>
      <c r="B62" s="12" t="s">
        <v>44</v>
      </c>
      <c r="C62" s="43">
        <v>31010200</v>
      </c>
      <c r="D62" s="150">
        <v>30</v>
      </c>
      <c r="E62" s="150">
        <v>19.1</v>
      </c>
      <c r="F62" s="156">
        <v>13.52</v>
      </c>
      <c r="G62" s="162">
        <f t="shared" si="13"/>
        <v>-5.580000000000002</v>
      </c>
      <c r="H62" s="164">
        <f t="shared" si="11"/>
        <v>70.7853403141361</v>
      </c>
      <c r="I62" s="165">
        <f t="shared" si="14"/>
        <v>-16.48</v>
      </c>
      <c r="J62" s="165">
        <f t="shared" si="16"/>
        <v>45.06666666666666</v>
      </c>
      <c r="K62" s="165">
        <v>14.42</v>
      </c>
      <c r="L62" s="165">
        <f t="shared" si="18"/>
        <v>-0.9000000000000004</v>
      </c>
      <c r="M62" s="223">
        <f t="shared" si="17"/>
        <v>0.9375866851595007</v>
      </c>
      <c r="N62" s="164">
        <f>E62-серпень!E62</f>
        <v>2.3000000000000007</v>
      </c>
      <c r="O62" s="168">
        <f>F62-серпень!F62</f>
        <v>0</v>
      </c>
      <c r="P62" s="167">
        <f t="shared" si="15"/>
        <v>-2.3000000000000007</v>
      </c>
      <c r="Q62" s="165">
        <f t="shared" si="12"/>
        <v>0</v>
      </c>
      <c r="R62" s="37"/>
      <c r="S62" s="94"/>
      <c r="T62" s="147">
        <f t="shared" si="8"/>
        <v>10.899999999999999</v>
      </c>
    </row>
    <row r="63" spans="1:20" s="6" customFormat="1" ht="30.75">
      <c r="A63" s="8"/>
      <c r="B63" s="12" t="s">
        <v>57</v>
      </c>
      <c r="C63" s="43">
        <v>31020000</v>
      </c>
      <c r="D63" s="150">
        <v>0.8</v>
      </c>
      <c r="E63" s="150">
        <v>0.2</v>
      </c>
      <c r="F63" s="156">
        <v>1.02</v>
      </c>
      <c r="G63" s="162">
        <f t="shared" si="13"/>
        <v>0.8200000000000001</v>
      </c>
      <c r="H63" s="164"/>
      <c r="I63" s="165">
        <f t="shared" si="14"/>
        <v>0.21999999999999997</v>
      </c>
      <c r="J63" s="165"/>
      <c r="K63" s="165">
        <v>0.31</v>
      </c>
      <c r="L63" s="165">
        <f t="shared" si="18"/>
        <v>0.71</v>
      </c>
      <c r="M63" s="223">
        <f t="shared" si="17"/>
        <v>3.2903225806451615</v>
      </c>
      <c r="N63" s="164">
        <f>E63-серпень!E63</f>
        <v>0</v>
      </c>
      <c r="O63" s="168">
        <f>F63-серпень!F63</f>
        <v>-0.010000000000000009</v>
      </c>
      <c r="P63" s="167">
        <f t="shared" si="15"/>
        <v>-0.010000000000000009</v>
      </c>
      <c r="Q63" s="165"/>
      <c r="R63" s="37"/>
      <c r="S63" s="94"/>
      <c r="T63" s="147">
        <f t="shared" si="8"/>
        <v>0.6000000000000001</v>
      </c>
    </row>
    <row r="64" spans="1:21" s="6" customFormat="1" ht="18">
      <c r="A64" s="9"/>
      <c r="B64" s="14" t="s">
        <v>28</v>
      </c>
      <c r="C64" s="62"/>
      <c r="D64" s="151">
        <f>D8+D38+D62+D63</f>
        <v>1018944.7300000001</v>
      </c>
      <c r="E64" s="151">
        <f>E8+E38+E62+E63</f>
        <v>754995.14</v>
      </c>
      <c r="F64" s="151">
        <f>F8+F38+F62+F63</f>
        <v>757500.1000000001</v>
      </c>
      <c r="G64" s="151">
        <f>F64-E64</f>
        <v>2504.960000000079</v>
      </c>
      <c r="H64" s="152">
        <f>F64/E64*100</f>
        <v>100.33178491718505</v>
      </c>
      <c r="I64" s="153">
        <f>F64-D64</f>
        <v>-261444.63</v>
      </c>
      <c r="J64" s="153">
        <f>F64/D64*100</f>
        <v>74.34162793108513</v>
      </c>
      <c r="K64" s="153">
        <v>509138.63</v>
      </c>
      <c r="L64" s="153">
        <f>F64-K64</f>
        <v>248361.4700000001</v>
      </c>
      <c r="M64" s="224">
        <f>F64/K64</f>
        <v>1.4878071616761825</v>
      </c>
      <c r="N64" s="151">
        <f>N8+N38+N62+N63</f>
        <v>82559.13</v>
      </c>
      <c r="O64" s="151">
        <f>O8+O38+O62+O63</f>
        <v>80976.43999999999</v>
      </c>
      <c r="P64" s="155">
        <f>O64-N64</f>
        <v>-1582.6900000000169</v>
      </c>
      <c r="Q64" s="153">
        <f>O64/N64*100</f>
        <v>98.08296187229683</v>
      </c>
      <c r="R64" s="27">
        <f>O64-34768</f>
        <v>46208.43999999999</v>
      </c>
      <c r="S64" s="115">
        <f>O64/34768</f>
        <v>2.32905085135757</v>
      </c>
      <c r="T64" s="147">
        <f t="shared" si="8"/>
        <v>263949.5900000001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 t="shared" si="8"/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 t="shared" si="8"/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 t="shared" si="8"/>
        <v>0</v>
      </c>
    </row>
    <row r="68" spans="2:20" ht="15">
      <c r="B68" s="22" t="s">
        <v>111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 t="shared" si="8"/>
        <v>0</v>
      </c>
    </row>
    <row r="69" spans="2:20" ht="25.5" customHeight="1">
      <c r="B69" s="134" t="s">
        <v>102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11">
        <f>F69/K69</f>
        <v>1</v>
      </c>
      <c r="N69" s="162"/>
      <c r="O69" s="182">
        <f>F69-серпень!F69</f>
        <v>0</v>
      </c>
      <c r="P69" s="167"/>
      <c r="Q69" s="167"/>
      <c r="R69" s="38"/>
      <c r="S69" s="97"/>
      <c r="T69" s="147">
        <f t="shared" si="8"/>
        <v>0</v>
      </c>
    </row>
    <row r="70" spans="2:20" ht="31.5">
      <c r="B70" s="23" t="s">
        <v>62</v>
      </c>
      <c r="C70" s="73">
        <v>18041500</v>
      </c>
      <c r="D70" s="180">
        <v>0</v>
      </c>
      <c r="E70" s="180"/>
      <c r="F70" s="181">
        <v>-3.83</v>
      </c>
      <c r="G70" s="162">
        <f>F70-E70</f>
        <v>-3.83</v>
      </c>
      <c r="H70" s="164"/>
      <c r="I70" s="167">
        <f>F70-D70</f>
        <v>-3.83</v>
      </c>
      <c r="J70" s="167"/>
      <c r="K70" s="167">
        <v>-51.7</v>
      </c>
      <c r="L70" s="167">
        <f>F70-K70</f>
        <v>47.870000000000005</v>
      </c>
      <c r="M70" s="211">
        <f>F70/K70</f>
        <v>0.07408123791102514</v>
      </c>
      <c r="N70" s="164"/>
      <c r="O70" s="182">
        <f>F70-серпень!F70</f>
        <v>0</v>
      </c>
      <c r="P70" s="167">
        <f>O70-N70</f>
        <v>0</v>
      </c>
      <c r="Q70" s="167"/>
      <c r="R70" s="38"/>
      <c r="S70" s="97"/>
      <c r="T70" s="147">
        <f t="shared" si="8"/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-3.8200000000000003</v>
      </c>
      <c r="G71" s="185">
        <f>F71-E71</f>
        <v>-3.8200000000000003</v>
      </c>
      <c r="H71" s="186"/>
      <c r="I71" s="187">
        <f>F71-D71</f>
        <v>-3.8200000000000003</v>
      </c>
      <c r="J71" s="187"/>
      <c r="K71" s="187">
        <v>-51.7</v>
      </c>
      <c r="L71" s="187">
        <f>F71-K71</f>
        <v>47.88</v>
      </c>
      <c r="M71" s="217">
        <f>F71/K71</f>
        <v>0.07388781431334623</v>
      </c>
      <c r="N71" s="185">
        <f>N70</f>
        <v>0</v>
      </c>
      <c r="O71" s="188">
        <f>SUM(O69:O70)</f>
        <v>0</v>
      </c>
      <c r="P71" s="187">
        <f>O71-N71</f>
        <v>0</v>
      </c>
      <c r="Q71" s="187"/>
      <c r="R71" s="39"/>
      <c r="S71" s="98"/>
      <c r="T71" s="147">
        <f t="shared" si="8"/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18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 t="shared" si="8"/>
        <v>0</v>
      </c>
    </row>
    <row r="73" spans="2:20" ht="31.5">
      <c r="B73" s="23" t="s">
        <v>29</v>
      </c>
      <c r="C73" s="73">
        <v>31030000</v>
      </c>
      <c r="D73" s="180">
        <v>4200</v>
      </c>
      <c r="E73" s="180">
        <v>2700</v>
      </c>
      <c r="F73" s="181">
        <v>1553.95</v>
      </c>
      <c r="G73" s="162">
        <f aca="true" t="shared" si="19" ref="G73:G83">F73-E73</f>
        <v>-1146.05</v>
      </c>
      <c r="H73" s="164"/>
      <c r="I73" s="167">
        <f aca="true" t="shared" si="20" ref="I73:I83">F73-D73</f>
        <v>-2646.05</v>
      </c>
      <c r="J73" s="167">
        <f>F73/D73*100</f>
        <v>36.99880952380952</v>
      </c>
      <c r="K73" s="167">
        <v>593.1</v>
      </c>
      <c r="L73" s="167">
        <f aca="true" t="shared" si="21" ref="L73:L83">F73-K73</f>
        <v>960.85</v>
      </c>
      <c r="M73" s="211">
        <f>F73/K73</f>
        <v>2.6200472095768</v>
      </c>
      <c r="N73" s="164">
        <f>E73-серпень!E73</f>
        <v>500</v>
      </c>
      <c r="O73" s="168">
        <f>F73-серпень!F73</f>
        <v>18.779999999999973</v>
      </c>
      <c r="P73" s="167">
        <f aca="true" t="shared" si="22" ref="P73:P86">O73-N73</f>
        <v>-481.22</v>
      </c>
      <c r="Q73" s="167">
        <f>O73/N73*100</f>
        <v>3.755999999999995</v>
      </c>
      <c r="R73" s="38"/>
      <c r="S73" s="97"/>
      <c r="T73" s="147">
        <f t="shared" si="8"/>
        <v>1500</v>
      </c>
    </row>
    <row r="74" spans="2:20" ht="18">
      <c r="B74" s="23" t="s">
        <v>30</v>
      </c>
      <c r="C74" s="73">
        <v>33010000</v>
      </c>
      <c r="D74" s="180">
        <v>7459</v>
      </c>
      <c r="E74" s="180">
        <v>4692.21</v>
      </c>
      <c r="F74" s="181">
        <v>6903.45</v>
      </c>
      <c r="G74" s="162">
        <f t="shared" si="19"/>
        <v>2211.24</v>
      </c>
      <c r="H74" s="164">
        <f>F74/E74*100</f>
        <v>147.12576802828517</v>
      </c>
      <c r="I74" s="167">
        <f t="shared" si="20"/>
        <v>-555.5500000000002</v>
      </c>
      <c r="J74" s="167">
        <f>F74/D74*100</f>
        <v>92.55195066362782</v>
      </c>
      <c r="K74" s="167">
        <v>3987.63</v>
      </c>
      <c r="L74" s="167">
        <f t="shared" si="21"/>
        <v>2915.8199999999997</v>
      </c>
      <c r="M74" s="211">
        <f>F74/K74</f>
        <v>1.7312162863655856</v>
      </c>
      <c r="N74" s="164">
        <f>E74-серпень!E74</f>
        <v>815</v>
      </c>
      <c r="O74" s="168">
        <f>F74-серпень!F74</f>
        <v>119.92000000000007</v>
      </c>
      <c r="P74" s="167">
        <f t="shared" si="22"/>
        <v>-695.0799999999999</v>
      </c>
      <c r="Q74" s="167">
        <f>O74/N74*100</f>
        <v>14.714110429447864</v>
      </c>
      <c r="R74" s="38"/>
      <c r="S74" s="97"/>
      <c r="T74" s="147">
        <f aca="true" t="shared" si="23" ref="T74:T90">D74-E74</f>
        <v>2766.79</v>
      </c>
    </row>
    <row r="75" spans="2:20" ht="31.5">
      <c r="B75" s="23" t="s">
        <v>54</v>
      </c>
      <c r="C75" s="73">
        <v>24170000</v>
      </c>
      <c r="D75" s="180">
        <v>6000</v>
      </c>
      <c r="E75" s="180">
        <v>2698.85</v>
      </c>
      <c r="F75" s="181">
        <v>12116.42</v>
      </c>
      <c r="G75" s="162">
        <f t="shared" si="19"/>
        <v>9417.57</v>
      </c>
      <c r="H75" s="164">
        <f>F75/E75*100</f>
        <v>448.9475146821794</v>
      </c>
      <c r="I75" s="167">
        <f t="shared" si="20"/>
        <v>6116.42</v>
      </c>
      <c r="J75" s="167">
        <f>F75/D75*100</f>
        <v>201.94033333333334</v>
      </c>
      <c r="K75" s="167">
        <v>1859.08</v>
      </c>
      <c r="L75" s="167">
        <f t="shared" si="21"/>
        <v>10257.34</v>
      </c>
      <c r="M75" s="211">
        <f>F75/K75</f>
        <v>6.517427975127482</v>
      </c>
      <c r="N75" s="164">
        <f>E75-серпень!E75</f>
        <v>302</v>
      </c>
      <c r="O75" s="168">
        <f>F75-серпень!F75</f>
        <v>1639.2800000000007</v>
      </c>
      <c r="P75" s="167">
        <f t="shared" si="22"/>
        <v>1337.2800000000007</v>
      </c>
      <c r="Q75" s="167">
        <f>O75/N75*100</f>
        <v>542.8079470198678</v>
      </c>
      <c r="R75" s="38"/>
      <c r="S75" s="97"/>
      <c r="T75" s="147">
        <f t="shared" si="23"/>
        <v>3301.15</v>
      </c>
    </row>
    <row r="76" spans="2:20" ht="18">
      <c r="B76" s="23" t="s">
        <v>103</v>
      </c>
      <c r="C76" s="73">
        <v>24110700</v>
      </c>
      <c r="D76" s="180">
        <v>12</v>
      </c>
      <c r="E76" s="180">
        <v>9</v>
      </c>
      <c r="F76" s="181">
        <v>10</v>
      </c>
      <c r="G76" s="162">
        <f t="shared" si="19"/>
        <v>1</v>
      </c>
      <c r="H76" s="164">
        <f>F76/E76*100</f>
        <v>111.11111111111111</v>
      </c>
      <c r="I76" s="167">
        <f t="shared" si="20"/>
        <v>-2</v>
      </c>
      <c r="J76" s="167">
        <f>F76/D76*100</f>
        <v>83.33333333333334</v>
      </c>
      <c r="K76" s="167"/>
      <c r="L76" s="167">
        <f t="shared" si="21"/>
        <v>10</v>
      </c>
      <c r="M76" s="211"/>
      <c r="N76" s="164">
        <f>E76-серпень!E76</f>
        <v>1</v>
      </c>
      <c r="O76" s="168">
        <f>F76-серпень!F76</f>
        <v>4</v>
      </c>
      <c r="P76" s="167">
        <f t="shared" si="22"/>
        <v>3</v>
      </c>
      <c r="Q76" s="167">
        <f>O76/N76*100</f>
        <v>400</v>
      </c>
      <c r="R76" s="38"/>
      <c r="S76" s="136"/>
      <c r="T76" s="147">
        <f t="shared" si="23"/>
        <v>3</v>
      </c>
    </row>
    <row r="77" spans="2:20" ht="33">
      <c r="B77" s="28" t="s">
        <v>51</v>
      </c>
      <c r="C77" s="65"/>
      <c r="D77" s="183">
        <f>D73+D74+D75+D76</f>
        <v>17671</v>
      </c>
      <c r="E77" s="183">
        <f>E73+E74+E75+E76</f>
        <v>10100.06</v>
      </c>
      <c r="F77" s="184">
        <f>F73+F74+F75+F76</f>
        <v>20583.82</v>
      </c>
      <c r="G77" s="185">
        <f t="shared" si="19"/>
        <v>10483.76</v>
      </c>
      <c r="H77" s="186">
        <f>F77/E77*100</f>
        <v>203.7989873327485</v>
      </c>
      <c r="I77" s="187">
        <f t="shared" si="20"/>
        <v>2912.8199999999997</v>
      </c>
      <c r="J77" s="187">
        <f>F77/D77*100</f>
        <v>116.48361722596343</v>
      </c>
      <c r="K77" s="187">
        <v>6439.8</v>
      </c>
      <c r="L77" s="187">
        <f t="shared" si="21"/>
        <v>14144.02</v>
      </c>
      <c r="M77" s="217">
        <f>F77/K77</f>
        <v>3.1963446069753716</v>
      </c>
      <c r="N77" s="185">
        <f>N73+N74+N75+N76</f>
        <v>1618</v>
      </c>
      <c r="O77" s="189">
        <f>O73+O74+O75+O76</f>
        <v>1781.9800000000007</v>
      </c>
      <c r="P77" s="187">
        <f t="shared" si="22"/>
        <v>163.9800000000007</v>
      </c>
      <c r="Q77" s="187">
        <f>O77/N77*100</f>
        <v>110.13473423980227</v>
      </c>
      <c r="R77" s="39"/>
      <c r="S77" s="116"/>
      <c r="T77" s="147">
        <f t="shared" si="23"/>
        <v>7570.9400000000005</v>
      </c>
    </row>
    <row r="78" spans="2:20" ht="46.5">
      <c r="B78" s="12" t="s">
        <v>40</v>
      </c>
      <c r="C78" s="75">
        <v>24062100</v>
      </c>
      <c r="D78" s="180">
        <v>1</v>
      </c>
      <c r="E78" s="180">
        <v>0</v>
      </c>
      <c r="F78" s="181">
        <v>35.78</v>
      </c>
      <c r="G78" s="162">
        <f t="shared" si="19"/>
        <v>35.78</v>
      </c>
      <c r="H78" s="164"/>
      <c r="I78" s="167">
        <f t="shared" si="20"/>
        <v>34.78</v>
      </c>
      <c r="J78" s="167"/>
      <c r="K78" s="167">
        <v>0.35</v>
      </c>
      <c r="L78" s="167">
        <f t="shared" si="21"/>
        <v>35.43</v>
      </c>
      <c r="M78" s="211">
        <f>F78/K78</f>
        <v>102.22857142857144</v>
      </c>
      <c r="N78" s="164">
        <f>E78-серпень!E78</f>
        <v>0</v>
      </c>
      <c r="O78" s="168">
        <f>F78-серпень!F78</f>
        <v>30.11</v>
      </c>
      <c r="P78" s="167">
        <f t="shared" si="22"/>
        <v>30.11</v>
      </c>
      <c r="Q78" s="167"/>
      <c r="R78" s="38"/>
      <c r="S78" s="97"/>
      <c r="T78" s="147">
        <f t="shared" si="23"/>
        <v>1</v>
      </c>
    </row>
    <row r="79" spans="2:20" ht="18" hidden="1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 t="shared" si="19"/>
        <v>0</v>
      </c>
      <c r="H79" s="164"/>
      <c r="I79" s="167">
        <f t="shared" si="20"/>
        <v>0</v>
      </c>
      <c r="J79" s="190"/>
      <c r="K79" s="167">
        <v>0</v>
      </c>
      <c r="L79" s="167">
        <f t="shared" si="21"/>
        <v>0</v>
      </c>
      <c r="M79" s="211" t="e">
        <f>F79/K79</f>
        <v>#DIV/0!</v>
      </c>
      <c r="N79" s="164">
        <f>E79-серпень!E79</f>
        <v>0</v>
      </c>
      <c r="O79" s="168">
        <f>F79-серпень!F79</f>
        <v>0</v>
      </c>
      <c r="P79" s="167">
        <f t="shared" si="22"/>
        <v>0</v>
      </c>
      <c r="Q79" s="190"/>
      <c r="R79" s="41"/>
      <c r="S79" s="99"/>
      <c r="T79" s="147">
        <f t="shared" si="23"/>
        <v>0</v>
      </c>
    </row>
    <row r="80" spans="2:20" ht="18">
      <c r="B80" s="23" t="s">
        <v>46</v>
      </c>
      <c r="C80" s="73">
        <v>19010000</v>
      </c>
      <c r="D80" s="180">
        <v>9500</v>
      </c>
      <c r="E80" s="180">
        <v>7624</v>
      </c>
      <c r="F80" s="181">
        <v>6825.67</v>
      </c>
      <c r="G80" s="162">
        <f t="shared" si="19"/>
        <v>-798.3299999999999</v>
      </c>
      <c r="H80" s="164">
        <f>F80/E80*100</f>
        <v>89.52872507869884</v>
      </c>
      <c r="I80" s="167">
        <f t="shared" si="20"/>
        <v>-2674.33</v>
      </c>
      <c r="J80" s="167">
        <f>F80/D80*100</f>
        <v>71.84915789473685</v>
      </c>
      <c r="K80" s="167">
        <v>0</v>
      </c>
      <c r="L80" s="167">
        <f t="shared" si="21"/>
        <v>6825.67</v>
      </c>
      <c r="M80" s="211"/>
      <c r="N80" s="164">
        <f>E80-серпень!E80</f>
        <v>0.3999999999996362</v>
      </c>
      <c r="O80" s="168">
        <f>F80-серпень!F80</f>
        <v>0.8400000000001455</v>
      </c>
      <c r="P80" s="167">
        <f>O80-N80</f>
        <v>0.4400000000005093</v>
      </c>
      <c r="Q80" s="190">
        <f>O80/N80*100</f>
        <v>210.00000000022737</v>
      </c>
      <c r="R80" s="41"/>
      <c r="S80" s="99"/>
      <c r="T80" s="147">
        <f t="shared" si="23"/>
        <v>1876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1.22</v>
      </c>
      <c r="G81" s="162">
        <f t="shared" si="19"/>
        <v>1.22</v>
      </c>
      <c r="H81" s="164"/>
      <c r="I81" s="167">
        <f t="shared" si="20"/>
        <v>1.22</v>
      </c>
      <c r="J81" s="167"/>
      <c r="K81" s="167">
        <v>1</v>
      </c>
      <c r="L81" s="167">
        <f t="shared" si="21"/>
        <v>0.21999999999999997</v>
      </c>
      <c r="M81" s="211">
        <f>F81/K81</f>
        <v>1.22</v>
      </c>
      <c r="N81" s="164">
        <f>E81-серпень!E81</f>
        <v>0</v>
      </c>
      <c r="O81" s="168">
        <f>F81-серпень!F81</f>
        <v>0.1299999999999999</v>
      </c>
      <c r="P81" s="167">
        <f t="shared" si="22"/>
        <v>0.1299999999999999</v>
      </c>
      <c r="Q81" s="167"/>
      <c r="R81" s="38"/>
      <c r="S81" s="97"/>
      <c r="T81" s="147">
        <f t="shared" si="23"/>
        <v>0</v>
      </c>
    </row>
    <row r="82" spans="2:20" ht="30">
      <c r="B82" s="28" t="s">
        <v>47</v>
      </c>
      <c r="C82" s="73"/>
      <c r="D82" s="183">
        <f>D78+D81+D79+D80</f>
        <v>9501</v>
      </c>
      <c r="E82" s="183">
        <f>E78+E81+E79+E80</f>
        <v>7624</v>
      </c>
      <c r="F82" s="184">
        <f>F78+F81+F79+F80</f>
        <v>6862.67</v>
      </c>
      <c r="G82" s="183">
        <f>G78+G81+G79+G80</f>
        <v>-761.3299999999999</v>
      </c>
      <c r="H82" s="186">
        <f>F82/E82*100</f>
        <v>90.01403462749214</v>
      </c>
      <c r="I82" s="187">
        <f t="shared" si="20"/>
        <v>-2638.33</v>
      </c>
      <c r="J82" s="187">
        <f>F82/D82*100</f>
        <v>72.23102831280917</v>
      </c>
      <c r="K82" s="187">
        <v>1.35</v>
      </c>
      <c r="L82" s="187">
        <f t="shared" si="21"/>
        <v>6861.32</v>
      </c>
      <c r="M82" s="225">
        <f>F82/K82</f>
        <v>5083.459259259259</v>
      </c>
      <c r="N82" s="185">
        <f>N78+N81+N79+N80</f>
        <v>0.3999999999996362</v>
      </c>
      <c r="O82" s="189">
        <f>O78+O81+O79+O80</f>
        <v>31.080000000000144</v>
      </c>
      <c r="P82" s="185">
        <f>P78+P81+P79+P80</f>
        <v>30.680000000000508</v>
      </c>
      <c r="Q82" s="187">
        <f>O82/N82*100</f>
        <v>7770.000000007103</v>
      </c>
      <c r="R82" s="39"/>
      <c r="S82" s="96"/>
      <c r="T82" s="147">
        <f t="shared" si="23"/>
        <v>1877</v>
      </c>
    </row>
    <row r="83" spans="2:20" ht="30.75">
      <c r="B83" s="12" t="s">
        <v>41</v>
      </c>
      <c r="C83" s="43">
        <v>24110900</v>
      </c>
      <c r="D83" s="180">
        <v>43</v>
      </c>
      <c r="E83" s="180">
        <v>28.97</v>
      </c>
      <c r="F83" s="181">
        <v>26.87</v>
      </c>
      <c r="G83" s="162">
        <f t="shared" si="19"/>
        <v>-2.099999999999998</v>
      </c>
      <c r="H83" s="164">
        <f>F83/E83*100</f>
        <v>92.75112185018986</v>
      </c>
      <c r="I83" s="167">
        <f t="shared" si="20"/>
        <v>-16.13</v>
      </c>
      <c r="J83" s="167">
        <f>F83/D83*100</f>
        <v>62.48837209302326</v>
      </c>
      <c r="K83" s="167">
        <v>29.22</v>
      </c>
      <c r="L83" s="167">
        <f t="shared" si="21"/>
        <v>-2.349999999999998</v>
      </c>
      <c r="M83" s="211">
        <f>F83/K83</f>
        <v>0.9195756331279946</v>
      </c>
      <c r="N83" s="164">
        <f>E83-серпень!E83</f>
        <v>8.169999999999998</v>
      </c>
      <c r="O83" s="168">
        <f>F83-серпень!F83</f>
        <v>7.490000000000002</v>
      </c>
      <c r="P83" s="167">
        <f t="shared" si="22"/>
        <v>-0.6799999999999962</v>
      </c>
      <c r="Q83" s="167">
        <f>O83/N83</f>
        <v>0.9167686658506736</v>
      </c>
      <c r="R83" s="38"/>
      <c r="S83" s="97"/>
      <c r="T83" s="147">
        <f t="shared" si="23"/>
        <v>14.030000000000001</v>
      </c>
    </row>
    <row r="84" spans="2:20" ht="18" hidden="1">
      <c r="B84" s="122"/>
      <c r="C84" s="43"/>
      <c r="D84" s="180"/>
      <c r="E84" s="180"/>
      <c r="F84" s="181"/>
      <c r="G84" s="162"/>
      <c r="H84" s="164"/>
      <c r="I84" s="167"/>
      <c r="J84" s="167"/>
      <c r="K84" s="167">
        <v>0</v>
      </c>
      <c r="L84" s="167"/>
      <c r="M84" s="167"/>
      <c r="N84" s="164" t="e">
        <f>E84-#REF!</f>
        <v>#REF!</v>
      </c>
      <c r="O84" s="168" t="e">
        <f>F84-#REF!</f>
        <v>#REF!</v>
      </c>
      <c r="P84" s="167" t="e">
        <f t="shared" si="22"/>
        <v>#REF!</v>
      </c>
      <c r="Q84" s="167"/>
      <c r="R84" s="38"/>
      <c r="S84" s="97"/>
      <c r="T84" s="147">
        <f t="shared" si="23"/>
        <v>0</v>
      </c>
    </row>
    <row r="85" spans="2:20" ht="23.25" customHeight="1">
      <c r="B85" s="14" t="s">
        <v>31</v>
      </c>
      <c r="C85" s="66"/>
      <c r="D85" s="191">
        <f>D71+D83+D77+D82</f>
        <v>27215</v>
      </c>
      <c r="E85" s="191">
        <f>E71+E83+E77+E82</f>
        <v>17753.03</v>
      </c>
      <c r="F85" s="191">
        <f>F71+F83+F77+F82+F84</f>
        <v>27469.54</v>
      </c>
      <c r="G85" s="192">
        <f>F85-E85</f>
        <v>9716.510000000002</v>
      </c>
      <c r="H85" s="193">
        <f>F85/E85*100</f>
        <v>154.73155850015462</v>
      </c>
      <c r="I85" s="194">
        <f>F85-D85</f>
        <v>254.54000000000087</v>
      </c>
      <c r="J85" s="194">
        <f>F85/D85*100</f>
        <v>100.93529303692816</v>
      </c>
      <c r="K85" s="194">
        <v>6418.88</v>
      </c>
      <c r="L85" s="194">
        <f>F85-K85</f>
        <v>21050.66</v>
      </c>
      <c r="M85" s="226">
        <f>F85/K85</f>
        <v>4.279491126177776</v>
      </c>
      <c r="N85" s="191">
        <f>N71+N83+N77+N82</f>
        <v>1626.5699999999997</v>
      </c>
      <c r="O85" s="191" t="e">
        <f>O71+O83+O77+O82+O84</f>
        <v>#REF!</v>
      </c>
      <c r="P85" s="194" t="e">
        <f t="shared" si="22"/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 t="shared" si="23"/>
        <v>9461.970000000001</v>
      </c>
    </row>
    <row r="86" spans="2:20" ht="17.25">
      <c r="B86" s="21" t="s">
        <v>32</v>
      </c>
      <c r="C86" s="66"/>
      <c r="D86" s="191">
        <f>D64+D85</f>
        <v>1046159.7300000001</v>
      </c>
      <c r="E86" s="191">
        <f>E64+E85</f>
        <v>772748.17</v>
      </c>
      <c r="F86" s="191">
        <f>F64+F85</f>
        <v>784969.6400000001</v>
      </c>
      <c r="G86" s="192">
        <f>F86-E86</f>
        <v>12221.470000000088</v>
      </c>
      <c r="H86" s="193">
        <f>F86/E86*100</f>
        <v>101.58155922905647</v>
      </c>
      <c r="I86" s="194">
        <f>F86-D86</f>
        <v>-261190.08999999997</v>
      </c>
      <c r="J86" s="194">
        <f>F86/D86*100</f>
        <v>75.03344063912688</v>
      </c>
      <c r="K86" s="194">
        <f>K64+K85</f>
        <v>515557.51</v>
      </c>
      <c r="L86" s="194">
        <f>F86-K86</f>
        <v>269412.1300000001</v>
      </c>
      <c r="M86" s="226">
        <f>F86/K86</f>
        <v>1.5225646504499568</v>
      </c>
      <c r="N86" s="192">
        <f>N64+N85</f>
        <v>84185.70000000001</v>
      </c>
      <c r="O86" s="192" t="e">
        <f>O64+O85</f>
        <v>#REF!</v>
      </c>
      <c r="P86" s="194" t="e">
        <f t="shared" si="22"/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 t="shared" si="23"/>
        <v>273411.56000000006</v>
      </c>
    </row>
    <row r="87" spans="2:20" ht="15">
      <c r="B87" s="20" t="s">
        <v>34</v>
      </c>
      <c r="O87" s="25"/>
      <c r="T87" s="147">
        <f t="shared" si="23"/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 t="shared" si="23"/>
        <v>#VALUE!</v>
      </c>
    </row>
    <row r="89" spans="2:20" ht="30.75">
      <c r="B89" s="52" t="s">
        <v>53</v>
      </c>
      <c r="C89" s="29" t="e">
        <f>IF(P64&lt;0,ABS(P64/C88),0)</f>
        <v>#DIV/0!</v>
      </c>
      <c r="D89" s="4" t="s">
        <v>24</v>
      </c>
      <c r="G89" s="268"/>
      <c r="H89" s="268"/>
      <c r="I89" s="268"/>
      <c r="J89" s="268"/>
      <c r="K89" s="84"/>
      <c r="L89" s="84"/>
      <c r="M89" s="84"/>
      <c r="Q89" s="25"/>
      <c r="R89" s="25"/>
      <c r="T89" s="147" t="e">
        <f t="shared" si="23"/>
        <v>#VALUE!</v>
      </c>
    </row>
    <row r="90" spans="2:20" ht="34.5" customHeight="1">
      <c r="B90" s="53" t="s">
        <v>55</v>
      </c>
      <c r="C90" s="81">
        <v>42643</v>
      </c>
      <c r="D90" s="29">
        <v>7462.3</v>
      </c>
      <c r="G90" s="4" t="s">
        <v>58</v>
      </c>
      <c r="O90" s="269"/>
      <c r="P90" s="269"/>
      <c r="T90" s="147">
        <f t="shared" si="23"/>
        <v>7462.3</v>
      </c>
    </row>
    <row r="91" spans="3:16" ht="15">
      <c r="C91" s="81">
        <v>42642</v>
      </c>
      <c r="D91" s="29">
        <v>10407.9</v>
      </c>
      <c r="F91" s="113" t="s">
        <v>58</v>
      </c>
      <c r="G91" s="270"/>
      <c r="H91" s="270"/>
      <c r="I91" s="118"/>
      <c r="J91" s="271"/>
      <c r="K91" s="271"/>
      <c r="L91" s="271"/>
      <c r="M91" s="271"/>
      <c r="N91" s="271"/>
      <c r="O91" s="269"/>
      <c r="P91" s="269"/>
    </row>
    <row r="92" spans="3:16" ht="15.75" customHeight="1">
      <c r="C92" s="81">
        <v>42641</v>
      </c>
      <c r="D92" s="29">
        <v>6835.7</v>
      </c>
      <c r="F92" s="68"/>
      <c r="G92" s="270"/>
      <c r="H92" s="270"/>
      <c r="I92" s="118"/>
      <c r="J92" s="272"/>
      <c r="K92" s="272"/>
      <c r="L92" s="272"/>
      <c r="M92" s="272"/>
      <c r="N92" s="272"/>
      <c r="O92" s="269"/>
      <c r="P92" s="269"/>
    </row>
    <row r="93" spans="3:14" ht="15.75" customHeight="1">
      <c r="C93" s="81"/>
      <c r="F93" s="68"/>
      <c r="G93" s="276"/>
      <c r="H93" s="276"/>
      <c r="I93" s="124"/>
      <c r="J93" s="271"/>
      <c r="K93" s="271"/>
      <c r="L93" s="271"/>
      <c r="M93" s="271"/>
      <c r="N93" s="271"/>
    </row>
    <row r="94" spans="2:14" ht="18.75" customHeight="1">
      <c r="B94" s="277" t="s">
        <v>56</v>
      </c>
      <c r="C94" s="278"/>
      <c r="D94" s="133">
        <v>10150.57106</v>
      </c>
      <c r="E94" s="69"/>
      <c r="F94" s="125" t="s">
        <v>110</v>
      </c>
      <c r="G94" s="270"/>
      <c r="H94" s="270"/>
      <c r="I94" s="126"/>
      <c r="J94" s="271"/>
      <c r="K94" s="271"/>
      <c r="L94" s="271"/>
      <c r="M94" s="271"/>
      <c r="N94" s="271"/>
    </row>
    <row r="95" spans="6:13" ht="9.75" customHeight="1">
      <c r="F95" s="68"/>
      <c r="G95" s="270"/>
      <c r="H95" s="270"/>
      <c r="I95" s="68"/>
      <c r="J95" s="69"/>
      <c r="K95" s="69"/>
      <c r="L95" s="69"/>
      <c r="M95" s="69"/>
    </row>
    <row r="96" spans="2:13" ht="22.5" customHeight="1">
      <c r="B96" s="273" t="s">
        <v>59</v>
      </c>
      <c r="C96" s="274"/>
      <c r="D96" s="80">
        <v>0</v>
      </c>
      <c r="E96" s="51" t="s">
        <v>24</v>
      </c>
      <c r="F96" s="68"/>
      <c r="G96" s="270"/>
      <c r="H96" s="270"/>
      <c r="I96" s="68"/>
      <c r="J96" s="69"/>
      <c r="K96" s="69"/>
      <c r="L96" s="69"/>
      <c r="M96" s="69"/>
    </row>
    <row r="97" spans="4:16" ht="15">
      <c r="D97" s="68">
        <f>D45+D48+D49</f>
        <v>1000</v>
      </c>
      <c r="E97" s="68">
        <f>E45+E48+E49</f>
        <v>946</v>
      </c>
      <c r="F97" s="205">
        <f>F45+F48+F49</f>
        <v>655.43</v>
      </c>
      <c r="G97" s="68">
        <f>G45+G48+G49</f>
        <v>-290.57</v>
      </c>
      <c r="H97" s="69"/>
      <c r="I97" s="69"/>
      <c r="N97" s="29">
        <f>N45+N48+N49</f>
        <v>12</v>
      </c>
      <c r="O97" s="204">
        <f>O45+O48+O49</f>
        <v>143.62</v>
      </c>
      <c r="P97" s="29">
        <f>P45+P48+P49</f>
        <v>131.62</v>
      </c>
    </row>
    <row r="98" spans="4:16" ht="15">
      <c r="D98" s="78"/>
      <c r="I98" s="29"/>
      <c r="O98" s="275"/>
      <c r="P98" s="275"/>
    </row>
    <row r="99" spans="15:16" ht="15">
      <c r="O99" s="270"/>
      <c r="P99" s="270"/>
    </row>
    <row r="100" ht="15">
      <c r="O100" s="29"/>
    </row>
    <row r="103" ht="15">
      <c r="E103" s="4" t="s">
        <v>58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" right="0" top="0" bottom="0" header="0" footer="0"/>
  <pageSetup fitToHeight="2" fitToWidth="1" horizontalDpi="600" verticalDpi="6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9" zoomScaleNormal="79" zoomScalePageLayoutView="0" workbookViewId="0" topLeftCell="B1">
      <pane xSplit="2" ySplit="8" topLeftCell="E5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Q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customWidth="1"/>
    <col min="13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242" t="s">
        <v>134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86"/>
      <c r="S1" s="87"/>
    </row>
    <row r="2" spans="2:19" s="1" customFormat="1" ht="15.75" customHeight="1">
      <c r="B2" s="243"/>
      <c r="C2" s="243"/>
      <c r="D2" s="243"/>
      <c r="E2" s="2"/>
      <c r="F2" s="112"/>
      <c r="G2" s="2"/>
      <c r="H2" s="2"/>
      <c r="Q2" s="17" t="s">
        <v>24</v>
      </c>
      <c r="R2" s="17"/>
      <c r="S2" s="88"/>
    </row>
    <row r="3" spans="1:19" s="3" customFormat="1" ht="13.5" customHeight="1">
      <c r="A3" s="244"/>
      <c r="B3" s="246"/>
      <c r="C3" s="247" t="s">
        <v>0</v>
      </c>
      <c r="D3" s="248" t="s">
        <v>105</v>
      </c>
      <c r="E3" s="32"/>
      <c r="F3" s="249" t="s">
        <v>26</v>
      </c>
      <c r="G3" s="250"/>
      <c r="H3" s="250"/>
      <c r="I3" s="250"/>
      <c r="J3" s="251"/>
      <c r="K3" s="83"/>
      <c r="L3" s="83"/>
      <c r="M3" s="83"/>
      <c r="N3" s="252" t="s">
        <v>131</v>
      </c>
      <c r="O3" s="255" t="s">
        <v>132</v>
      </c>
      <c r="P3" s="255"/>
      <c r="Q3" s="255"/>
      <c r="R3" s="255"/>
      <c r="S3" s="255"/>
    </row>
    <row r="4" spans="1:19" ht="22.5" customHeight="1">
      <c r="A4" s="244"/>
      <c r="B4" s="246"/>
      <c r="C4" s="247"/>
      <c r="D4" s="248"/>
      <c r="E4" s="256" t="s">
        <v>128</v>
      </c>
      <c r="F4" s="258" t="s">
        <v>33</v>
      </c>
      <c r="G4" s="260" t="s">
        <v>129</v>
      </c>
      <c r="H4" s="253" t="s">
        <v>130</v>
      </c>
      <c r="I4" s="260" t="s">
        <v>106</v>
      </c>
      <c r="J4" s="253" t="s">
        <v>107</v>
      </c>
      <c r="K4" s="85" t="s">
        <v>124</v>
      </c>
      <c r="L4" s="206" t="s">
        <v>123</v>
      </c>
      <c r="M4" s="90" t="s">
        <v>63</v>
      </c>
      <c r="N4" s="253"/>
      <c r="O4" s="262" t="s">
        <v>135</v>
      </c>
      <c r="P4" s="260" t="s">
        <v>49</v>
      </c>
      <c r="Q4" s="264" t="s">
        <v>48</v>
      </c>
      <c r="R4" s="91" t="s">
        <v>64</v>
      </c>
      <c r="S4" s="92" t="s">
        <v>63</v>
      </c>
    </row>
    <row r="5" spans="1:19" ht="67.5" customHeight="1">
      <c r="A5" s="245"/>
      <c r="B5" s="246"/>
      <c r="C5" s="247"/>
      <c r="D5" s="248"/>
      <c r="E5" s="257"/>
      <c r="F5" s="259"/>
      <c r="G5" s="261"/>
      <c r="H5" s="254"/>
      <c r="I5" s="261"/>
      <c r="J5" s="254"/>
      <c r="K5" s="265" t="s">
        <v>133</v>
      </c>
      <c r="L5" s="266"/>
      <c r="M5" s="267"/>
      <c r="N5" s="254"/>
      <c r="O5" s="263"/>
      <c r="P5" s="261"/>
      <c r="Q5" s="264"/>
      <c r="R5" s="265" t="s">
        <v>104</v>
      </c>
      <c r="S5" s="267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934071.4500000001</v>
      </c>
      <c r="E8" s="151">
        <f>E9+E15+E18+E19+E20+E37+E17</f>
        <v>629357.98</v>
      </c>
      <c r="F8" s="151">
        <f>F9+F15+F18+F19+F20+F37+F17</f>
        <v>633520.83</v>
      </c>
      <c r="G8" s="151">
        <f aca="true" t="shared" si="0" ref="G8:G37">F8-E8</f>
        <v>4162.849999999977</v>
      </c>
      <c r="H8" s="152">
        <f>F8/E8*100</f>
        <v>100.6614439051047</v>
      </c>
      <c r="I8" s="153">
        <f>F8-D8</f>
        <v>-300550.6200000001</v>
      </c>
      <c r="J8" s="153">
        <f>F8/D8*100</f>
        <v>67.82359422290446</v>
      </c>
      <c r="K8" s="151">
        <v>429512.12</v>
      </c>
      <c r="L8" s="151">
        <f aca="true" t="shared" si="1" ref="L8:L51">F8-K8</f>
        <v>204008.70999999996</v>
      </c>
      <c r="M8" s="207">
        <f aca="true" t="shared" si="2" ref="M8:M28">F8/K8</f>
        <v>1.4749777724549424</v>
      </c>
      <c r="N8" s="151">
        <f>N9+N15+N18+N19+N20+N17</f>
        <v>130406.69999999995</v>
      </c>
      <c r="O8" s="151">
        <f>O9+O15+O18+O19+O20+O17</f>
        <v>89713.86999999997</v>
      </c>
      <c r="P8" s="151">
        <f>O8-N8</f>
        <v>-40692.82999999999</v>
      </c>
      <c r="Q8" s="151">
        <f>O8/N8*100</f>
        <v>68.79544532604537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80</v>
      </c>
      <c r="C9" s="43">
        <v>11010000</v>
      </c>
      <c r="D9" s="150">
        <v>530589</v>
      </c>
      <c r="E9" s="150">
        <f>328493.67+2000+1800</f>
        <v>332293.67</v>
      </c>
      <c r="F9" s="156">
        <v>339918.36</v>
      </c>
      <c r="G9" s="150">
        <f t="shared" si="0"/>
        <v>7624.690000000002</v>
      </c>
      <c r="H9" s="157">
        <f>F9/E9*100</f>
        <v>102.2945637213011</v>
      </c>
      <c r="I9" s="158">
        <f>F9-D9</f>
        <v>-190670.64</v>
      </c>
      <c r="J9" s="158">
        <f>F9/D9*100</f>
        <v>64.06434358797488</v>
      </c>
      <c r="K9" s="159">
        <v>233711.01</v>
      </c>
      <c r="L9" s="159">
        <f t="shared" si="1"/>
        <v>106207.34999999998</v>
      </c>
      <c r="M9" s="208">
        <f t="shared" si="2"/>
        <v>1.4544387960156433</v>
      </c>
      <c r="N9" s="157">
        <f>E9-липень!E9</f>
        <v>69034.39999999997</v>
      </c>
      <c r="O9" s="160">
        <f>F9-липень!F9</f>
        <v>44508.649999999965</v>
      </c>
      <c r="P9" s="161">
        <f>O9-N9</f>
        <v>-24525.75</v>
      </c>
      <c r="Q9" s="158">
        <f>O9/N9*100</f>
        <v>64.473146721055</v>
      </c>
      <c r="R9" s="100"/>
      <c r="S9" s="101"/>
      <c r="T9" s="147">
        <f>D9-E9</f>
        <v>198295.33000000002</v>
      </c>
    </row>
    <row r="10" spans="1:20" s="6" customFormat="1" ht="18" hidden="1">
      <c r="A10" s="8"/>
      <c r="B10" s="121" t="s">
        <v>91</v>
      </c>
      <c r="C10" s="102">
        <v>11010100</v>
      </c>
      <c r="D10" s="103">
        <v>485209</v>
      </c>
      <c r="E10" s="103">
        <v>295370.24</v>
      </c>
      <c r="F10" s="140">
        <v>298673.41</v>
      </c>
      <c r="G10" s="103">
        <f t="shared" si="0"/>
        <v>3303.1699999999837</v>
      </c>
      <c r="H10" s="30">
        <f aca="true" t="shared" si="3" ref="H10:H36">F10/E10*100</f>
        <v>101.11831510175162</v>
      </c>
      <c r="I10" s="104">
        <f aca="true" t="shared" si="4" ref="I10:I37">F10-D10</f>
        <v>-186535.59000000003</v>
      </c>
      <c r="J10" s="104">
        <f aca="true" t="shared" si="5" ref="J10:J36">F10/D10*100</f>
        <v>61.55562036153492</v>
      </c>
      <c r="K10" s="106">
        <v>206618.21</v>
      </c>
      <c r="L10" s="106">
        <f t="shared" si="1"/>
        <v>92055.19999999998</v>
      </c>
      <c r="M10" s="209">
        <f t="shared" si="2"/>
        <v>1.4455328501781135</v>
      </c>
      <c r="N10" s="105">
        <f>E10-липень!E10</f>
        <v>61354.399999999994</v>
      </c>
      <c r="O10" s="144">
        <f>F10-липень!F10</f>
        <v>39567.50999999998</v>
      </c>
      <c r="P10" s="106">
        <f aca="true" t="shared" si="6" ref="P10:P37">O10-N10</f>
        <v>-21786.890000000014</v>
      </c>
      <c r="Q10" s="158">
        <f aca="true" t="shared" si="7" ref="Q10:Q16">O10/N10*100</f>
        <v>64.49009362001745</v>
      </c>
      <c r="R10" s="37"/>
      <c r="S10" s="94"/>
      <c r="T10" s="147">
        <f aca="true" t="shared" si="8" ref="T10:T73">D10-E10</f>
        <v>189838.76</v>
      </c>
    </row>
    <row r="11" spans="1:20" s="6" customFormat="1" ht="18" hidden="1">
      <c r="A11" s="8"/>
      <c r="B11" s="121" t="s">
        <v>87</v>
      </c>
      <c r="C11" s="102">
        <v>11010200</v>
      </c>
      <c r="D11" s="103">
        <v>23000</v>
      </c>
      <c r="E11" s="103">
        <v>19714.94</v>
      </c>
      <c r="F11" s="140">
        <v>24998.93</v>
      </c>
      <c r="G11" s="103">
        <f t="shared" si="0"/>
        <v>5283.990000000002</v>
      </c>
      <c r="H11" s="30">
        <f t="shared" si="3"/>
        <v>126.80195831181835</v>
      </c>
      <c r="I11" s="104">
        <f t="shared" si="4"/>
        <v>1998.9300000000003</v>
      </c>
      <c r="J11" s="104">
        <f t="shared" si="5"/>
        <v>108.691</v>
      </c>
      <c r="K11" s="106">
        <v>12408.56</v>
      </c>
      <c r="L11" s="106">
        <f t="shared" si="1"/>
        <v>12590.37</v>
      </c>
      <c r="M11" s="209">
        <f t="shared" si="2"/>
        <v>2.0146519821800437</v>
      </c>
      <c r="N11" s="105">
        <f>E11-липень!E11</f>
        <v>3799.999999999998</v>
      </c>
      <c r="O11" s="144">
        <f>F11-липень!F11</f>
        <v>3412.9000000000015</v>
      </c>
      <c r="P11" s="106">
        <f t="shared" si="6"/>
        <v>-387.0999999999967</v>
      </c>
      <c r="Q11" s="158">
        <f t="shared" si="7"/>
        <v>89.81315789473693</v>
      </c>
      <c r="R11" s="37"/>
      <c r="S11" s="94"/>
      <c r="T11" s="147">
        <f t="shared" si="8"/>
        <v>3285.0600000000013</v>
      </c>
    </row>
    <row r="12" spans="1:20" s="6" customFormat="1" ht="18" hidden="1">
      <c r="A12" s="8"/>
      <c r="B12" s="121" t="s">
        <v>90</v>
      </c>
      <c r="C12" s="102">
        <v>11010400</v>
      </c>
      <c r="D12" s="103">
        <v>6500</v>
      </c>
      <c r="E12" s="103">
        <v>5400.61</v>
      </c>
      <c r="F12" s="140">
        <v>6686.39</v>
      </c>
      <c r="G12" s="103">
        <f t="shared" si="0"/>
        <v>1285.7800000000007</v>
      </c>
      <c r="H12" s="30">
        <f t="shared" si="3"/>
        <v>123.8080513127221</v>
      </c>
      <c r="I12" s="104">
        <f t="shared" si="4"/>
        <v>186.39000000000033</v>
      </c>
      <c r="J12" s="104">
        <f t="shared" si="5"/>
        <v>102.86753846153846</v>
      </c>
      <c r="K12" s="106">
        <v>3331.36</v>
      </c>
      <c r="L12" s="106">
        <f t="shared" si="1"/>
        <v>3355.03</v>
      </c>
      <c r="M12" s="209">
        <f t="shared" si="2"/>
        <v>2.007105206282119</v>
      </c>
      <c r="N12" s="105">
        <f>E12-липень!E12</f>
        <v>2129.9999999999995</v>
      </c>
      <c r="O12" s="144">
        <f>F12-липень!F12</f>
        <v>848.9500000000007</v>
      </c>
      <c r="P12" s="106">
        <f t="shared" si="6"/>
        <v>-1281.0499999999988</v>
      </c>
      <c r="Q12" s="158">
        <f t="shared" si="7"/>
        <v>39.85680751173713</v>
      </c>
      <c r="R12" s="37"/>
      <c r="S12" s="94"/>
      <c r="T12" s="147">
        <f t="shared" si="8"/>
        <v>1099.3900000000003</v>
      </c>
    </row>
    <row r="13" spans="1:20" s="6" customFormat="1" ht="18" hidden="1">
      <c r="A13" s="8"/>
      <c r="B13" s="121" t="s">
        <v>88</v>
      </c>
      <c r="C13" s="102">
        <v>11010500</v>
      </c>
      <c r="D13" s="103">
        <v>12400</v>
      </c>
      <c r="E13" s="103">
        <v>8364.84</v>
      </c>
      <c r="F13" s="140">
        <v>7017.25</v>
      </c>
      <c r="G13" s="103">
        <f t="shared" si="0"/>
        <v>-1347.5900000000001</v>
      </c>
      <c r="H13" s="30">
        <f t="shared" si="3"/>
        <v>83.88982933325681</v>
      </c>
      <c r="I13" s="104">
        <f t="shared" si="4"/>
        <v>-5382.75</v>
      </c>
      <c r="J13" s="104">
        <f t="shared" si="5"/>
        <v>56.590725806451616</v>
      </c>
      <c r="K13" s="106">
        <v>4976.73</v>
      </c>
      <c r="L13" s="106">
        <f t="shared" si="1"/>
        <v>2040.5200000000004</v>
      </c>
      <c r="M13" s="209">
        <f t="shared" si="2"/>
        <v>1.4100121967637385</v>
      </c>
      <c r="N13" s="105">
        <f>E13-липень!E13</f>
        <v>1600</v>
      </c>
      <c r="O13" s="144">
        <f>F13-липень!F13</f>
        <v>587.79</v>
      </c>
      <c r="P13" s="106">
        <f t="shared" si="6"/>
        <v>-1012.21</v>
      </c>
      <c r="Q13" s="158">
        <f t="shared" si="7"/>
        <v>36.736875</v>
      </c>
      <c r="R13" s="37"/>
      <c r="S13" s="94"/>
      <c r="T13" s="147">
        <f t="shared" si="8"/>
        <v>4035.16</v>
      </c>
    </row>
    <row r="14" spans="1:22" s="6" customFormat="1" ht="18" hidden="1">
      <c r="A14" s="8"/>
      <c r="B14" s="121" t="s">
        <v>89</v>
      </c>
      <c r="C14" s="102">
        <v>11010900</v>
      </c>
      <c r="D14" s="103">
        <v>3480</v>
      </c>
      <c r="E14" s="103">
        <v>3443.04</v>
      </c>
      <c r="F14" s="140">
        <v>2542.38</v>
      </c>
      <c r="G14" s="103">
        <f t="shared" si="0"/>
        <v>-900.6599999999999</v>
      </c>
      <c r="H14" s="30">
        <f t="shared" si="3"/>
        <v>73.84114038756448</v>
      </c>
      <c r="I14" s="104">
        <f t="shared" si="4"/>
        <v>-937.6199999999999</v>
      </c>
      <c r="J14" s="104">
        <f t="shared" si="5"/>
        <v>73.05689655172414</v>
      </c>
      <c r="K14" s="106">
        <v>6376.14</v>
      </c>
      <c r="L14" s="106">
        <f t="shared" si="1"/>
        <v>-3833.76</v>
      </c>
      <c r="M14" s="209">
        <f t="shared" si="2"/>
        <v>0.39873340296793985</v>
      </c>
      <c r="N14" s="105">
        <f>E14-липень!E14</f>
        <v>150</v>
      </c>
      <c r="O14" s="144">
        <f>F14-липень!F14</f>
        <v>91.5</v>
      </c>
      <c r="P14" s="106">
        <f t="shared" si="6"/>
        <v>-58.5</v>
      </c>
      <c r="Q14" s="158">
        <f t="shared" si="7"/>
        <v>61</v>
      </c>
      <c r="R14" s="37"/>
      <c r="S14" s="94"/>
      <c r="T14" s="147">
        <f t="shared" si="8"/>
        <v>36.960000000000036</v>
      </c>
      <c r="U14" s="229">
        <v>2880</v>
      </c>
      <c r="V14" s="147">
        <f>U14-T14</f>
        <v>2843.04</v>
      </c>
    </row>
    <row r="15" spans="1:20" s="6" customFormat="1" ht="30.75">
      <c r="A15" s="8"/>
      <c r="B15" s="12" t="s">
        <v>11</v>
      </c>
      <c r="C15" s="43">
        <v>11020200</v>
      </c>
      <c r="D15" s="150">
        <v>500</v>
      </c>
      <c r="E15" s="150">
        <v>365</v>
      </c>
      <c r="F15" s="156">
        <v>385.26</v>
      </c>
      <c r="G15" s="150">
        <f t="shared" si="0"/>
        <v>20.25999999999999</v>
      </c>
      <c r="H15" s="157">
        <f>F15/E15*100</f>
        <v>105.55068493150685</v>
      </c>
      <c r="I15" s="158">
        <f t="shared" si="4"/>
        <v>-114.74000000000001</v>
      </c>
      <c r="J15" s="158">
        <f t="shared" si="5"/>
        <v>77.05199999999999</v>
      </c>
      <c r="K15" s="161">
        <v>-734.58</v>
      </c>
      <c r="L15" s="161">
        <f t="shared" si="1"/>
        <v>1119.8400000000001</v>
      </c>
      <c r="M15" s="210">
        <f t="shared" si="2"/>
        <v>-0.5244629584252225</v>
      </c>
      <c r="N15" s="157">
        <f>E15-липень!E15</f>
        <v>115</v>
      </c>
      <c r="O15" s="160">
        <f>F15-липень!F15</f>
        <v>76.01999999999998</v>
      </c>
      <c r="P15" s="161">
        <f t="shared" si="6"/>
        <v>-38.98000000000002</v>
      </c>
      <c r="Q15" s="158">
        <f t="shared" si="7"/>
        <v>66.10434782608694</v>
      </c>
      <c r="R15" s="37"/>
      <c r="S15" s="94"/>
      <c r="T15" s="147">
        <f t="shared" si="8"/>
        <v>135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30" t="e">
        <f t="shared" si="3"/>
        <v>#DIV/0!</v>
      </c>
      <c r="I16" s="37">
        <f t="shared" si="4"/>
        <v>0</v>
      </c>
      <c r="J16" s="37" t="e">
        <f t="shared" si="5"/>
        <v>#DIV/0!</v>
      </c>
      <c r="K16" s="106">
        <v>381.9</v>
      </c>
      <c r="L16" s="161">
        <f t="shared" si="1"/>
        <v>-381.9</v>
      </c>
      <c r="M16" s="210">
        <f t="shared" si="2"/>
        <v>0</v>
      </c>
      <c r="N16" s="157">
        <f>E16-липень!E16</f>
        <v>0</v>
      </c>
      <c r="O16" s="160">
        <f>F16-липень!F16</f>
        <v>0</v>
      </c>
      <c r="P16" s="36">
        <f t="shared" si="6"/>
        <v>0</v>
      </c>
      <c r="Q16" s="158" t="e">
        <f t="shared" si="7"/>
        <v>#DIV/0!</v>
      </c>
      <c r="R16" s="104">
        <f>O16-358.81</f>
        <v>-358.81</v>
      </c>
      <c r="S16" s="109">
        <f>O16/358.79</f>
        <v>0</v>
      </c>
      <c r="T16" s="147">
        <f t="shared" si="8"/>
        <v>0</v>
      </c>
    </row>
    <row r="17" spans="1:20" s="6" customFormat="1" ht="30.75">
      <c r="A17" s="8"/>
      <c r="B17" s="44" t="s">
        <v>86</v>
      </c>
      <c r="C17" s="120">
        <v>13010200</v>
      </c>
      <c r="D17" s="162">
        <v>0</v>
      </c>
      <c r="E17" s="162">
        <v>0</v>
      </c>
      <c r="F17" s="163">
        <v>0.17</v>
      </c>
      <c r="G17" s="162">
        <f t="shared" si="0"/>
        <v>0.17</v>
      </c>
      <c r="H17" s="164"/>
      <c r="I17" s="165">
        <f t="shared" si="4"/>
        <v>0.17</v>
      </c>
      <c r="J17" s="165"/>
      <c r="K17" s="167">
        <v>0.09</v>
      </c>
      <c r="L17" s="161">
        <f t="shared" si="1"/>
        <v>0.08000000000000002</v>
      </c>
      <c r="M17" s="210">
        <f t="shared" si="2"/>
        <v>1.888888888888889</v>
      </c>
      <c r="N17" s="157">
        <f>E17-липень!E17</f>
        <v>0</v>
      </c>
      <c r="O17" s="160">
        <f>F17-липень!F17</f>
        <v>0</v>
      </c>
      <c r="P17" s="167">
        <f t="shared" si="6"/>
        <v>0</v>
      </c>
      <c r="Q17" s="158"/>
      <c r="R17" s="104"/>
      <c r="S17" s="109"/>
      <c r="T17" s="147">
        <f t="shared" si="8"/>
        <v>0</v>
      </c>
    </row>
    <row r="18" spans="1:20" s="6" customFormat="1" ht="30.75">
      <c r="A18" s="8"/>
      <c r="B18" s="13" t="s">
        <v>73</v>
      </c>
      <c r="C18" s="43">
        <v>13030200</v>
      </c>
      <c r="D18" s="150">
        <v>105.8</v>
      </c>
      <c r="E18" s="150">
        <v>105.8</v>
      </c>
      <c r="F18" s="156">
        <v>105.8</v>
      </c>
      <c r="G18" s="150">
        <f t="shared" si="0"/>
        <v>0</v>
      </c>
      <c r="H18" s="157">
        <f t="shared" si="3"/>
        <v>100</v>
      </c>
      <c r="I18" s="158">
        <f t="shared" si="4"/>
        <v>0</v>
      </c>
      <c r="J18" s="158">
        <f t="shared" si="5"/>
        <v>100</v>
      </c>
      <c r="K18" s="161">
        <v>15.8</v>
      </c>
      <c r="L18" s="161">
        <f t="shared" si="1"/>
        <v>90</v>
      </c>
      <c r="M18" s="210">
        <f t="shared" si="2"/>
        <v>6.696202531645569</v>
      </c>
      <c r="N18" s="157">
        <f>E18-липень!E18</f>
        <v>95.8</v>
      </c>
      <c r="O18" s="160">
        <f>F18-липень!F18</f>
        <v>0</v>
      </c>
      <c r="P18" s="161">
        <f t="shared" si="6"/>
        <v>-95.8</v>
      </c>
      <c r="Q18" s="158"/>
      <c r="R18" s="37"/>
      <c r="S18" s="94"/>
      <c r="T18" s="147">
        <f t="shared" si="8"/>
        <v>0</v>
      </c>
    </row>
    <row r="19" spans="1:21" s="6" customFormat="1" ht="46.5">
      <c r="A19" s="8"/>
      <c r="B19" s="44" t="s">
        <v>72</v>
      </c>
      <c r="C19" s="43">
        <v>14040000</v>
      </c>
      <c r="D19" s="150">
        <v>109900</v>
      </c>
      <c r="E19" s="150">
        <v>69260.4</v>
      </c>
      <c r="F19" s="156">
        <v>64436.28</v>
      </c>
      <c r="G19" s="150">
        <f t="shared" si="0"/>
        <v>-4824.119999999995</v>
      </c>
      <c r="H19" s="157">
        <f t="shared" si="3"/>
        <v>93.03480776894156</v>
      </c>
      <c r="I19" s="158">
        <f t="shared" si="4"/>
        <v>-45463.72</v>
      </c>
      <c r="J19" s="158">
        <f t="shared" si="5"/>
        <v>58.63173794358507</v>
      </c>
      <c r="K19" s="169">
        <v>43877.66</v>
      </c>
      <c r="L19" s="161">
        <f t="shared" si="1"/>
        <v>20558.619999999995</v>
      </c>
      <c r="M19" s="216">
        <f t="shared" si="2"/>
        <v>1.468544129290395</v>
      </c>
      <c r="N19" s="157">
        <f>E19-липень!E19</f>
        <v>10499.999999999993</v>
      </c>
      <c r="O19" s="160">
        <f>F19-липень!F19</f>
        <v>10145.080000000002</v>
      </c>
      <c r="P19" s="161">
        <f t="shared" si="6"/>
        <v>-354.919999999991</v>
      </c>
      <c r="Q19" s="158">
        <f aca="true" t="shared" si="9" ref="Q19:Q24">O19/N19*100</f>
        <v>96.61980952380961</v>
      </c>
      <c r="R19" s="107"/>
      <c r="S19" s="108"/>
      <c r="T19" s="147">
        <f t="shared" si="8"/>
        <v>40639.600000000006</v>
      </c>
      <c r="U19" s="6">
        <v>3348</v>
      </c>
    </row>
    <row r="20" spans="1:20" s="6" customFormat="1" ht="18">
      <c r="A20" s="8"/>
      <c r="B20" s="117" t="s">
        <v>74</v>
      </c>
      <c r="C20" s="43">
        <v>18000000</v>
      </c>
      <c r="D20" s="150">
        <f>D21+D30+D32+D29</f>
        <v>292976.65</v>
      </c>
      <c r="E20" s="150">
        <f>E21+E30+E32+E29</f>
        <v>227333.11</v>
      </c>
      <c r="F20" s="228">
        <f>F21+F29+F30+F31+F32</f>
        <v>228674.96</v>
      </c>
      <c r="G20" s="150">
        <f t="shared" si="0"/>
        <v>1341.8500000000058</v>
      </c>
      <c r="H20" s="157">
        <f t="shared" si="3"/>
        <v>100.5902571781119</v>
      </c>
      <c r="I20" s="158">
        <f t="shared" si="4"/>
        <v>-64301.69000000003</v>
      </c>
      <c r="J20" s="158">
        <f t="shared" si="5"/>
        <v>78.05228164087478</v>
      </c>
      <c r="K20" s="158">
        <v>147068.17</v>
      </c>
      <c r="L20" s="161">
        <f t="shared" si="1"/>
        <v>81606.78999999998</v>
      </c>
      <c r="M20" s="211">
        <f t="shared" si="2"/>
        <v>1.554890905353619</v>
      </c>
      <c r="N20" s="157">
        <f>N21+N30+N31+N32</f>
        <v>50661.5</v>
      </c>
      <c r="O20" s="160">
        <f>F20-липень!F20</f>
        <v>34984.119999999995</v>
      </c>
      <c r="P20" s="161">
        <f t="shared" si="6"/>
        <v>-15677.380000000005</v>
      </c>
      <c r="Q20" s="158">
        <f t="shared" si="9"/>
        <v>69.05464701992636</v>
      </c>
      <c r="R20" s="107"/>
      <c r="S20" s="108"/>
      <c r="T20" s="147">
        <f t="shared" si="8"/>
        <v>65643.54000000004</v>
      </c>
    </row>
    <row r="21" spans="1:20" s="6" customFormat="1" ht="18">
      <c r="A21" s="8"/>
      <c r="B21" s="44" t="s">
        <v>82</v>
      </c>
      <c r="C21" s="114">
        <v>18010000</v>
      </c>
      <c r="D21" s="150">
        <f>D22+D25+D26</f>
        <v>174899.65</v>
      </c>
      <c r="E21" s="150">
        <f>E22+E25+E26</f>
        <v>120768.95999999999</v>
      </c>
      <c r="F21" s="170">
        <f>F22+F25+F26</f>
        <v>121679.97</v>
      </c>
      <c r="G21" s="150">
        <f t="shared" si="0"/>
        <v>911.0100000000093</v>
      </c>
      <c r="H21" s="157">
        <f t="shared" si="3"/>
        <v>100.75434118170763</v>
      </c>
      <c r="I21" s="158">
        <f t="shared" si="4"/>
        <v>-53219.67999999999</v>
      </c>
      <c r="J21" s="158">
        <f t="shared" si="5"/>
        <v>69.57130560295576</v>
      </c>
      <c r="K21" s="158">
        <v>79798.88</v>
      </c>
      <c r="L21" s="161">
        <f t="shared" si="1"/>
        <v>41881.09</v>
      </c>
      <c r="M21" s="211">
        <f t="shared" si="2"/>
        <v>1.5248330553010268</v>
      </c>
      <c r="N21" s="157">
        <f>N22+N25+N26</f>
        <v>24280.3</v>
      </c>
      <c r="O21" s="160" t="e">
        <f>F21-#REF!</f>
        <v>#REF!</v>
      </c>
      <c r="P21" s="161" t="e">
        <f t="shared" si="6"/>
        <v>#REF!</v>
      </c>
      <c r="Q21" s="158" t="e">
        <f t="shared" si="9"/>
        <v>#REF!</v>
      </c>
      <c r="R21" s="107"/>
      <c r="S21" s="108"/>
      <c r="T21" s="147">
        <f t="shared" si="8"/>
        <v>54130.69</v>
      </c>
    </row>
    <row r="22" spans="1:21" s="6" customFormat="1" ht="18">
      <c r="A22" s="8"/>
      <c r="B22" s="50" t="s">
        <v>75</v>
      </c>
      <c r="C22" s="123"/>
      <c r="D22" s="171">
        <v>18500</v>
      </c>
      <c r="E22" s="171">
        <v>14576.9</v>
      </c>
      <c r="F22" s="172">
        <v>14873.47</v>
      </c>
      <c r="G22" s="171">
        <f t="shared" si="0"/>
        <v>296.5699999999997</v>
      </c>
      <c r="H22" s="173">
        <f t="shared" si="3"/>
        <v>102.03452037127236</v>
      </c>
      <c r="I22" s="174">
        <f t="shared" si="4"/>
        <v>-3626.5300000000007</v>
      </c>
      <c r="J22" s="174">
        <f t="shared" si="5"/>
        <v>80.39713513513513</v>
      </c>
      <c r="K22" s="175">
        <v>8673.74</v>
      </c>
      <c r="L22" s="166">
        <f t="shared" si="1"/>
        <v>6199.73</v>
      </c>
      <c r="M22" s="219">
        <f t="shared" si="2"/>
        <v>1.7147700991729058</v>
      </c>
      <c r="N22" s="173">
        <f>E22-липень!E22</f>
        <v>1985.2999999999993</v>
      </c>
      <c r="O22" s="176">
        <f>F22-липень!F22</f>
        <v>1003.3299999999999</v>
      </c>
      <c r="P22" s="177">
        <f t="shared" si="6"/>
        <v>-981.9699999999993</v>
      </c>
      <c r="Q22" s="174">
        <f t="shared" si="9"/>
        <v>50.53795396161791</v>
      </c>
      <c r="R22" s="107"/>
      <c r="S22" s="108"/>
      <c r="T22" s="147">
        <f t="shared" si="8"/>
        <v>3923.1000000000004</v>
      </c>
      <c r="U22" s="147"/>
    </row>
    <row r="23" spans="1:21" s="6" customFormat="1" ht="18" hidden="1">
      <c r="A23" s="8"/>
      <c r="B23" s="196" t="s">
        <v>112</v>
      </c>
      <c r="C23" s="197"/>
      <c r="D23" s="200">
        <v>2000</v>
      </c>
      <c r="E23" s="200">
        <v>874.4</v>
      </c>
      <c r="F23" s="163">
        <v>623.64</v>
      </c>
      <c r="G23" s="200">
        <f t="shared" si="0"/>
        <v>-250.76</v>
      </c>
      <c r="H23" s="201">
        <f t="shared" si="3"/>
        <v>71.3220494053065</v>
      </c>
      <c r="I23" s="202">
        <f t="shared" si="4"/>
        <v>-1376.3600000000001</v>
      </c>
      <c r="J23" s="202">
        <f t="shared" si="5"/>
        <v>31.182</v>
      </c>
      <c r="K23" s="218">
        <v>526.9</v>
      </c>
      <c r="L23" s="218">
        <f t="shared" si="1"/>
        <v>96.74000000000001</v>
      </c>
      <c r="M23" s="220">
        <f t="shared" si="2"/>
        <v>1.1836022015562726</v>
      </c>
      <c r="N23" s="198">
        <f>E23-липень!E23</f>
        <v>185.29999999999995</v>
      </c>
      <c r="O23" s="198">
        <f>F23-липень!F23</f>
        <v>85.80999999999995</v>
      </c>
      <c r="P23" s="199">
        <f t="shared" si="6"/>
        <v>-99.49000000000001</v>
      </c>
      <c r="Q23" s="199">
        <f t="shared" si="9"/>
        <v>46.308688613059886</v>
      </c>
      <c r="R23" s="107"/>
      <c r="S23" s="108"/>
      <c r="T23" s="147">
        <f t="shared" si="8"/>
        <v>1125.6</v>
      </c>
      <c r="U23" s="147"/>
    </row>
    <row r="24" spans="1:21" s="6" customFormat="1" ht="18" hidden="1">
      <c r="A24" s="8"/>
      <c r="B24" s="196" t="s">
        <v>113</v>
      </c>
      <c r="C24" s="197"/>
      <c r="D24" s="200">
        <v>16500</v>
      </c>
      <c r="E24" s="200">
        <v>13702.5</v>
      </c>
      <c r="F24" s="163">
        <v>14249.83</v>
      </c>
      <c r="G24" s="200">
        <f t="shared" si="0"/>
        <v>547.3299999999999</v>
      </c>
      <c r="H24" s="201">
        <f t="shared" si="3"/>
        <v>103.99438058748403</v>
      </c>
      <c r="I24" s="202">
        <f t="shared" si="4"/>
        <v>-2250.17</v>
      </c>
      <c r="J24" s="202">
        <f t="shared" si="5"/>
        <v>86.36260606060605</v>
      </c>
      <c r="K24" s="218">
        <v>8146.84</v>
      </c>
      <c r="L24" s="218">
        <f t="shared" si="1"/>
        <v>6102.99</v>
      </c>
      <c r="M24" s="220">
        <f t="shared" si="2"/>
        <v>1.7491235865685346</v>
      </c>
      <c r="N24" s="198">
        <f>E24-липень!E24</f>
        <v>1800</v>
      </c>
      <c r="O24" s="198">
        <f>F24-липень!F24</f>
        <v>917.5200000000004</v>
      </c>
      <c r="P24" s="199">
        <f t="shared" si="6"/>
        <v>-882.4799999999996</v>
      </c>
      <c r="Q24" s="199">
        <f t="shared" si="9"/>
        <v>50.97333333333336</v>
      </c>
      <c r="R24" s="107"/>
      <c r="S24" s="108"/>
      <c r="T24" s="147">
        <f t="shared" si="8"/>
        <v>2797.5</v>
      </c>
      <c r="U24" s="147"/>
    </row>
    <row r="25" spans="1:20" s="6" customFormat="1" ht="18">
      <c r="A25" s="8"/>
      <c r="B25" s="50" t="s">
        <v>76</v>
      </c>
      <c r="C25" s="123"/>
      <c r="D25" s="171">
        <v>1000</v>
      </c>
      <c r="E25" s="171">
        <v>893.14</v>
      </c>
      <c r="F25" s="172">
        <v>669</v>
      </c>
      <c r="G25" s="171">
        <f t="shared" si="0"/>
        <v>-224.14</v>
      </c>
      <c r="H25" s="173">
        <f t="shared" si="3"/>
        <v>74.90427032716036</v>
      </c>
      <c r="I25" s="174">
        <f t="shared" si="4"/>
        <v>-331</v>
      </c>
      <c r="J25" s="174">
        <f t="shared" si="5"/>
        <v>66.9</v>
      </c>
      <c r="K25" s="174">
        <v>3116.95</v>
      </c>
      <c r="L25" s="174">
        <f t="shared" si="1"/>
        <v>-2447.95</v>
      </c>
      <c r="M25" s="214">
        <f t="shared" si="2"/>
        <v>0.21463289433580907</v>
      </c>
      <c r="N25" s="173">
        <f>E25-липень!E25</f>
        <v>200</v>
      </c>
      <c r="O25" s="176">
        <f>F25-липень!F25</f>
        <v>190.2</v>
      </c>
      <c r="P25" s="177">
        <f t="shared" si="6"/>
        <v>-9.800000000000011</v>
      </c>
      <c r="Q25" s="174"/>
      <c r="R25" s="107"/>
      <c r="S25" s="108"/>
      <c r="T25" s="147">
        <f t="shared" si="8"/>
        <v>106.86000000000001</v>
      </c>
    </row>
    <row r="26" spans="1:20" s="6" customFormat="1" ht="18">
      <c r="A26" s="8"/>
      <c r="B26" s="50" t="s">
        <v>77</v>
      </c>
      <c r="C26" s="123"/>
      <c r="D26" s="171">
        <v>155399.65</v>
      </c>
      <c r="E26" s="171">
        <f>103968.92+677+453+200</f>
        <v>105298.92</v>
      </c>
      <c r="F26" s="172">
        <v>106137.5</v>
      </c>
      <c r="G26" s="171">
        <f t="shared" si="0"/>
        <v>838.5800000000017</v>
      </c>
      <c r="H26" s="173">
        <f t="shared" si="3"/>
        <v>100.79638043771008</v>
      </c>
      <c r="I26" s="174">
        <f t="shared" si="4"/>
        <v>-49262.149999999994</v>
      </c>
      <c r="J26" s="174">
        <f t="shared" si="5"/>
        <v>68.2997033777103</v>
      </c>
      <c r="K26" s="175">
        <v>68008.19</v>
      </c>
      <c r="L26" s="175">
        <f t="shared" si="1"/>
        <v>38129.31</v>
      </c>
      <c r="M26" s="213">
        <f t="shared" si="2"/>
        <v>1.5606576207953777</v>
      </c>
      <c r="N26" s="173">
        <f>E26-липень!E26</f>
        <v>22095</v>
      </c>
      <c r="O26" s="176">
        <f>F26-липень!F26</f>
        <v>14529.710000000006</v>
      </c>
      <c r="P26" s="177">
        <f t="shared" si="6"/>
        <v>-7565.289999999994</v>
      </c>
      <c r="Q26" s="174">
        <f>O26/N26*100</f>
        <v>65.76017198461194</v>
      </c>
      <c r="R26" s="107"/>
      <c r="S26" s="108"/>
      <c r="T26" s="147">
        <f t="shared" si="8"/>
        <v>50100.729999999996</v>
      </c>
    </row>
    <row r="27" spans="1:20" s="6" customFormat="1" ht="18" hidden="1">
      <c r="A27" s="8"/>
      <c r="B27" s="196" t="s">
        <v>114</v>
      </c>
      <c r="C27" s="197"/>
      <c r="D27" s="200">
        <v>47367</v>
      </c>
      <c r="E27" s="200">
        <v>33291.75</v>
      </c>
      <c r="F27" s="163">
        <v>34037.82</v>
      </c>
      <c r="G27" s="200">
        <f t="shared" si="0"/>
        <v>746.0699999999997</v>
      </c>
      <c r="H27" s="201">
        <f t="shared" si="3"/>
        <v>102.24100565455404</v>
      </c>
      <c r="I27" s="202">
        <f t="shared" si="4"/>
        <v>-13329.18</v>
      </c>
      <c r="J27" s="202">
        <f t="shared" si="5"/>
        <v>71.8597757932738</v>
      </c>
      <c r="K27" s="218">
        <v>18442.07</v>
      </c>
      <c r="L27" s="218">
        <f t="shared" si="1"/>
        <v>15595.75</v>
      </c>
      <c r="M27" s="220">
        <f t="shared" si="2"/>
        <v>1.8456615770355498</v>
      </c>
      <c r="N27" s="198">
        <f>E27-липень!E27</f>
        <v>9447</v>
      </c>
      <c r="O27" s="198">
        <f>F27-липень!F27</f>
        <v>4752.060000000001</v>
      </c>
      <c r="P27" s="199">
        <f t="shared" si="6"/>
        <v>-4694.939999999999</v>
      </c>
      <c r="Q27" s="199">
        <f>O27/N27*100</f>
        <v>50.30231819625279</v>
      </c>
      <c r="R27" s="107"/>
      <c r="S27" s="108"/>
      <c r="T27" s="147">
        <f t="shared" si="8"/>
        <v>14075.25</v>
      </c>
    </row>
    <row r="28" spans="1:20" s="6" customFormat="1" ht="18" hidden="1">
      <c r="A28" s="8"/>
      <c r="B28" s="196" t="s">
        <v>115</v>
      </c>
      <c r="C28" s="197"/>
      <c r="D28" s="200">
        <v>108032.65</v>
      </c>
      <c r="E28" s="200">
        <v>72007.17</v>
      </c>
      <c r="F28" s="163">
        <v>72099.67</v>
      </c>
      <c r="G28" s="200">
        <f t="shared" si="0"/>
        <v>92.5</v>
      </c>
      <c r="H28" s="201">
        <f t="shared" si="3"/>
        <v>100.128459429804</v>
      </c>
      <c r="I28" s="202">
        <f t="shared" si="4"/>
        <v>-35932.979999999996</v>
      </c>
      <c r="J28" s="202">
        <f t="shared" si="5"/>
        <v>66.73877758251788</v>
      </c>
      <c r="K28" s="218">
        <v>49566.12</v>
      </c>
      <c r="L28" s="218">
        <f t="shared" si="1"/>
        <v>22533.549999999996</v>
      </c>
      <c r="M28" s="220">
        <f t="shared" si="2"/>
        <v>1.4546159755897778</v>
      </c>
      <c r="N28" s="198">
        <f>E28-липень!E28</f>
        <v>12648</v>
      </c>
      <c r="O28" s="198">
        <f>F28-липень!F28</f>
        <v>9777.64</v>
      </c>
      <c r="P28" s="199">
        <f t="shared" si="6"/>
        <v>-2870.3600000000006</v>
      </c>
      <c r="Q28" s="199">
        <f>O28/N28*100</f>
        <v>77.30581910183427</v>
      </c>
      <c r="R28" s="107"/>
      <c r="S28" s="108"/>
      <c r="T28" s="147">
        <f t="shared" si="8"/>
        <v>36025.479999999996</v>
      </c>
    </row>
    <row r="29" spans="1:20" s="6" customFormat="1" ht="18">
      <c r="A29" s="8"/>
      <c r="B29" s="44" t="s">
        <v>125</v>
      </c>
      <c r="C29" s="227">
        <v>18020000</v>
      </c>
      <c r="D29" s="162">
        <v>0</v>
      </c>
      <c r="E29" s="162">
        <v>0</v>
      </c>
      <c r="F29" s="201">
        <v>0.15</v>
      </c>
      <c r="G29" s="150">
        <f t="shared" si="0"/>
        <v>0.15</v>
      </c>
      <c r="H29" s="157"/>
      <c r="I29" s="158">
        <f t="shared" si="4"/>
        <v>0.15</v>
      </c>
      <c r="J29" s="158"/>
      <c r="K29" s="167">
        <v>0</v>
      </c>
      <c r="L29" s="158">
        <f t="shared" si="1"/>
        <v>0.15</v>
      </c>
      <c r="M29" s="212"/>
      <c r="N29" s="173">
        <v>0</v>
      </c>
      <c r="O29" s="160">
        <f>F29</f>
        <v>0.15</v>
      </c>
      <c r="P29" s="161">
        <f t="shared" si="6"/>
        <v>0.15</v>
      </c>
      <c r="Q29" s="158"/>
      <c r="R29" s="107"/>
      <c r="S29" s="108"/>
      <c r="T29" s="147">
        <f t="shared" si="8"/>
        <v>0</v>
      </c>
    </row>
    <row r="30" spans="1:20" s="6" customFormat="1" ht="18">
      <c r="A30" s="8"/>
      <c r="B30" s="44" t="s">
        <v>83</v>
      </c>
      <c r="C30" s="114">
        <v>18030000</v>
      </c>
      <c r="D30" s="150">
        <v>77</v>
      </c>
      <c r="E30" s="150">
        <v>48.31</v>
      </c>
      <c r="F30" s="156">
        <v>85.95</v>
      </c>
      <c r="G30" s="150">
        <f t="shared" si="0"/>
        <v>37.64</v>
      </c>
      <c r="H30" s="157">
        <f t="shared" si="3"/>
        <v>177.91347547091698</v>
      </c>
      <c r="I30" s="158">
        <f t="shared" si="4"/>
        <v>8.950000000000003</v>
      </c>
      <c r="J30" s="158">
        <f t="shared" si="5"/>
        <v>111.62337662337663</v>
      </c>
      <c r="K30" s="158">
        <v>48.85</v>
      </c>
      <c r="L30" s="158">
        <f t="shared" si="1"/>
        <v>37.1</v>
      </c>
      <c r="M30" s="212">
        <f>F30/K30</f>
        <v>1.759467758444217</v>
      </c>
      <c r="N30" s="157">
        <f>E30-липень!E30</f>
        <v>7.400000000000006</v>
      </c>
      <c r="O30" s="160">
        <f>F30-липень!F30</f>
        <v>20.33</v>
      </c>
      <c r="P30" s="161">
        <f t="shared" si="6"/>
        <v>12.929999999999993</v>
      </c>
      <c r="Q30" s="158">
        <f>O30/N30*100</f>
        <v>274.7297297297295</v>
      </c>
      <c r="R30" s="107"/>
      <c r="S30" s="108"/>
      <c r="T30" s="147">
        <f t="shared" si="8"/>
        <v>28.689999999999998</v>
      </c>
    </row>
    <row r="31" spans="1:20" s="6" customFormat="1" ht="49.5" customHeight="1">
      <c r="A31" s="8"/>
      <c r="B31" s="44" t="s">
        <v>84</v>
      </c>
      <c r="C31" s="114">
        <v>18040000</v>
      </c>
      <c r="D31" s="150"/>
      <c r="E31" s="150"/>
      <c r="F31" s="156">
        <v>-150.23</v>
      </c>
      <c r="G31" s="150">
        <f t="shared" si="0"/>
        <v>-150.23</v>
      </c>
      <c r="H31" s="157"/>
      <c r="I31" s="158">
        <f t="shared" si="4"/>
        <v>-150.23</v>
      </c>
      <c r="J31" s="158"/>
      <c r="K31" s="158">
        <v>-614.57</v>
      </c>
      <c r="L31" s="158">
        <f t="shared" si="1"/>
        <v>464.34000000000003</v>
      </c>
      <c r="M31" s="212">
        <f>F31/K31</f>
        <v>0.24444733716256892</v>
      </c>
      <c r="N31" s="157">
        <f>E31-липень!E31</f>
        <v>0</v>
      </c>
      <c r="O31" s="160">
        <f>F31-липень!F31</f>
        <v>-11.5</v>
      </c>
      <c r="P31" s="161">
        <f t="shared" si="6"/>
        <v>-11.5</v>
      </c>
      <c r="Q31" s="158"/>
      <c r="R31" s="107"/>
      <c r="S31" s="108"/>
      <c r="T31" s="147">
        <f t="shared" si="8"/>
        <v>0</v>
      </c>
    </row>
    <row r="32" spans="1:20" s="6" customFormat="1" ht="18">
      <c r="A32" s="8"/>
      <c r="B32" s="44" t="s">
        <v>85</v>
      </c>
      <c r="C32" s="114">
        <v>18050000</v>
      </c>
      <c r="D32" s="162">
        <v>118000</v>
      </c>
      <c r="E32" s="162">
        <f>98815.84+7700</f>
        <v>106515.84</v>
      </c>
      <c r="F32" s="163">
        <v>107059.12</v>
      </c>
      <c r="G32" s="162">
        <f t="shared" si="0"/>
        <v>543.2799999999988</v>
      </c>
      <c r="H32" s="164">
        <f t="shared" si="3"/>
        <v>100.51004620533435</v>
      </c>
      <c r="I32" s="165">
        <f t="shared" si="4"/>
        <v>-10940.880000000005</v>
      </c>
      <c r="J32" s="165">
        <f t="shared" si="5"/>
        <v>90.72806779661016</v>
      </c>
      <c r="K32" s="178">
        <v>67835.01</v>
      </c>
      <c r="L32" s="178">
        <f>F32-K32</f>
        <v>39224.11</v>
      </c>
      <c r="M32" s="231">
        <f>F32/K32</f>
        <v>1.578228115540928</v>
      </c>
      <c r="N32" s="157">
        <f>E32-липень!E32</f>
        <v>26373.800000000003</v>
      </c>
      <c r="O32" s="160">
        <f>F32-липень!F32</f>
        <v>19252.04999999999</v>
      </c>
      <c r="P32" s="167">
        <f t="shared" si="6"/>
        <v>-7121.750000000015</v>
      </c>
      <c r="Q32" s="165">
        <f>O32/N32*100</f>
        <v>72.996875687235</v>
      </c>
      <c r="R32" s="107"/>
      <c r="S32" s="108"/>
      <c r="T32" s="147">
        <f t="shared" si="8"/>
        <v>11484.160000000003</v>
      </c>
    </row>
    <row r="33" spans="1:20" s="6" customFormat="1" ht="15">
      <c r="A33" s="8"/>
      <c r="B33" s="50" t="s">
        <v>92</v>
      </c>
      <c r="C33" s="102">
        <v>18050200</v>
      </c>
      <c r="D33" s="103">
        <v>0</v>
      </c>
      <c r="E33" s="103">
        <v>0</v>
      </c>
      <c r="F33" s="140">
        <v>0.23</v>
      </c>
      <c r="G33" s="103">
        <f t="shared" si="0"/>
        <v>0.23</v>
      </c>
      <c r="H33" s="105"/>
      <c r="I33" s="104">
        <f t="shared" si="4"/>
        <v>0.23</v>
      </c>
      <c r="J33" s="104"/>
      <c r="K33" s="127">
        <v>-1.2</v>
      </c>
      <c r="L33" s="127">
        <f t="shared" si="1"/>
        <v>1.43</v>
      </c>
      <c r="M33" s="221">
        <f aca="true" t="shared" si="10" ref="M33:M39">F33/K33</f>
        <v>-0.19166666666666668</v>
      </c>
      <c r="N33" s="105">
        <f>E33-липень!E33</f>
        <v>0</v>
      </c>
      <c r="O33" s="144">
        <f>F33-липень!F33</f>
        <v>0.010000000000000009</v>
      </c>
      <c r="P33" s="106">
        <f t="shared" si="6"/>
        <v>0.010000000000000009</v>
      </c>
      <c r="Q33" s="104"/>
      <c r="R33" s="107"/>
      <c r="S33" s="108"/>
      <c r="T33" s="147">
        <f t="shared" si="8"/>
        <v>0</v>
      </c>
    </row>
    <row r="34" spans="1:20" s="6" customFormat="1" ht="15">
      <c r="A34" s="8"/>
      <c r="B34" s="50" t="s">
        <v>93</v>
      </c>
      <c r="C34" s="102">
        <v>18050300</v>
      </c>
      <c r="D34" s="103">
        <v>28217</v>
      </c>
      <c r="E34" s="103">
        <v>26962.97</v>
      </c>
      <c r="F34" s="140">
        <v>27383.08</v>
      </c>
      <c r="G34" s="103">
        <f t="shared" si="0"/>
        <v>420.1100000000006</v>
      </c>
      <c r="H34" s="105">
        <f t="shared" si="3"/>
        <v>101.55809986807833</v>
      </c>
      <c r="I34" s="104">
        <f t="shared" si="4"/>
        <v>-833.9199999999983</v>
      </c>
      <c r="J34" s="104">
        <f t="shared" si="5"/>
        <v>97.0446184923982</v>
      </c>
      <c r="K34" s="127">
        <v>16931.33</v>
      </c>
      <c r="L34" s="127">
        <f t="shared" si="1"/>
        <v>10451.75</v>
      </c>
      <c r="M34" s="221">
        <f t="shared" si="10"/>
        <v>1.617302361952664</v>
      </c>
      <c r="N34" s="105">
        <f>E34-липень!E34</f>
        <v>7267</v>
      </c>
      <c r="O34" s="144">
        <f>F34-липень!F34</f>
        <v>5628.570000000003</v>
      </c>
      <c r="P34" s="106">
        <f t="shared" si="6"/>
        <v>-1638.4299999999967</v>
      </c>
      <c r="Q34" s="104">
        <f>O34/N34*100</f>
        <v>77.45383239300953</v>
      </c>
      <c r="R34" s="107"/>
      <c r="S34" s="108"/>
      <c r="T34" s="147">
        <f t="shared" si="8"/>
        <v>1254.0299999999988</v>
      </c>
    </row>
    <row r="35" spans="1:20" s="6" customFormat="1" ht="15">
      <c r="A35" s="8"/>
      <c r="B35" s="50" t="s">
        <v>94</v>
      </c>
      <c r="C35" s="102">
        <v>18050400</v>
      </c>
      <c r="D35" s="103">
        <v>89732</v>
      </c>
      <c r="E35" s="103">
        <v>79536.08</v>
      </c>
      <c r="F35" s="140">
        <v>79650.8</v>
      </c>
      <c r="G35" s="103">
        <f t="shared" si="0"/>
        <v>114.72000000000116</v>
      </c>
      <c r="H35" s="105">
        <f t="shared" si="3"/>
        <v>100.1442364270404</v>
      </c>
      <c r="I35" s="104">
        <f t="shared" si="4"/>
        <v>-10081.199999999997</v>
      </c>
      <c r="J35" s="104">
        <f t="shared" si="5"/>
        <v>88.76521196451657</v>
      </c>
      <c r="K35" s="127">
        <v>50888.07</v>
      </c>
      <c r="L35" s="127">
        <f t="shared" si="1"/>
        <v>28762.730000000003</v>
      </c>
      <c r="M35" s="221">
        <f t="shared" si="10"/>
        <v>1.5652155799974337</v>
      </c>
      <c r="N35" s="105">
        <f>E35-липень!E35</f>
        <v>19100</v>
      </c>
      <c r="O35" s="144">
        <f>F35-липень!F35</f>
        <v>13618.979999999996</v>
      </c>
      <c r="P35" s="106">
        <f t="shared" si="6"/>
        <v>-5481.020000000004</v>
      </c>
      <c r="Q35" s="104">
        <f>O35/N35*100</f>
        <v>71.30356020942406</v>
      </c>
      <c r="R35" s="107"/>
      <c r="S35" s="108"/>
      <c r="T35" s="147">
        <f t="shared" si="8"/>
        <v>10195.919999999998</v>
      </c>
    </row>
    <row r="36" spans="1:20" s="6" customFormat="1" ht="15">
      <c r="A36" s="8"/>
      <c r="B36" s="50" t="s">
        <v>95</v>
      </c>
      <c r="C36" s="102">
        <v>18050500</v>
      </c>
      <c r="D36" s="103">
        <v>51</v>
      </c>
      <c r="E36" s="103">
        <v>16.79</v>
      </c>
      <c r="F36" s="140">
        <v>25</v>
      </c>
      <c r="G36" s="103">
        <f t="shared" si="0"/>
        <v>8.21</v>
      </c>
      <c r="H36" s="105">
        <f t="shared" si="3"/>
        <v>148.89815366289457</v>
      </c>
      <c r="I36" s="104">
        <f t="shared" si="4"/>
        <v>-26</v>
      </c>
      <c r="J36" s="104">
        <f t="shared" si="5"/>
        <v>49.01960784313725</v>
      </c>
      <c r="K36" s="127">
        <v>16.81</v>
      </c>
      <c r="L36" s="127">
        <f t="shared" si="1"/>
        <v>8.190000000000001</v>
      </c>
      <c r="M36" s="221">
        <f t="shared" si="10"/>
        <v>1.48720999405116</v>
      </c>
      <c r="N36" s="105">
        <f>E36-липень!E36</f>
        <v>6.799999999999999</v>
      </c>
      <c r="O36" s="144">
        <f>F36-липень!F36</f>
        <v>4.48</v>
      </c>
      <c r="P36" s="106">
        <f t="shared" si="6"/>
        <v>-2.3199999999999985</v>
      </c>
      <c r="Q36" s="104"/>
      <c r="R36" s="107"/>
      <c r="S36" s="108"/>
      <c r="T36" s="147">
        <f t="shared" si="8"/>
        <v>34.21</v>
      </c>
    </row>
    <row r="37" spans="1:20" s="6" customFormat="1" ht="15" customHeight="1">
      <c r="A37" s="8"/>
      <c r="B37" s="44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 t="shared" si="0"/>
        <v>0</v>
      </c>
      <c r="H37" s="30"/>
      <c r="I37" s="37">
        <f t="shared" si="4"/>
        <v>0</v>
      </c>
      <c r="J37" s="37"/>
      <c r="K37" s="119">
        <v>5573.96</v>
      </c>
      <c r="L37" s="119">
        <f t="shared" si="1"/>
        <v>-5573.96</v>
      </c>
      <c r="M37" s="222">
        <f t="shared" si="10"/>
        <v>0</v>
      </c>
      <c r="N37" s="30">
        <v>0</v>
      </c>
      <c r="O37" s="144">
        <f>F37-липень!F37</f>
        <v>0</v>
      </c>
      <c r="P37" s="36">
        <f t="shared" si="6"/>
        <v>0</v>
      </c>
      <c r="Q37" s="37"/>
      <c r="R37" s="107"/>
      <c r="S37" s="108"/>
      <c r="T37" s="147">
        <f t="shared" si="8"/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D39+D40+D41+D42+D43+D45+D47+D48+D49+D50+D51+D56+D57+D61+D44</f>
        <v>56835.48</v>
      </c>
      <c r="E38" s="151">
        <f>E39+E40+E41+E42+E43+E45+E47+E48+E49+E50+E51+E56+E57+E61+E44</f>
        <v>43061.03</v>
      </c>
      <c r="F38" s="151">
        <f>F39+F40+F41+F42+F43+F45+F47+F48+F49+F50+F51+F56+F57+F61+F44</f>
        <v>42988.27</v>
      </c>
      <c r="G38" s="151">
        <f>G39+G40+G41+G42+G43+G45+G47+G48+G49+G50+G51+G56+G57+G61</f>
        <v>-99.90999999999931</v>
      </c>
      <c r="H38" s="152">
        <f>F38/E38*100</f>
        <v>99.83103051645537</v>
      </c>
      <c r="I38" s="153">
        <f>F38-D38</f>
        <v>-13847.210000000006</v>
      </c>
      <c r="J38" s="153">
        <f>F38/D38*100</f>
        <v>75.63632787125223</v>
      </c>
      <c r="K38" s="151">
        <v>21607.34</v>
      </c>
      <c r="L38" s="151">
        <f t="shared" si="1"/>
        <v>21380.929999999997</v>
      </c>
      <c r="M38" s="207">
        <f t="shared" si="10"/>
        <v>1.9895216162655838</v>
      </c>
      <c r="N38" s="151">
        <f>N39+N40+N41+N42+N43+N45+N47+N48+N49+N50+N51+N56+N57+N61+N44</f>
        <v>18066</v>
      </c>
      <c r="O38" s="151">
        <f>O39+O40+O41+O42+O43+O45+O47+O48+O49+O50+O51+O56+O57+O61+O44</f>
        <v>6201.989999999999</v>
      </c>
      <c r="P38" s="151">
        <f>P39+P40+P41+P42+P43+P45+P47+P48+P49+P50+P51+P56+P57+P61</f>
        <v>-11863.68</v>
      </c>
      <c r="Q38" s="151">
        <f>O38/N38*100</f>
        <v>34.329624709398864</v>
      </c>
      <c r="R38" s="15" t="e">
        <f>#N/A</f>
        <v>#N/A</v>
      </c>
      <c r="S38" s="15" t="e">
        <f>#N/A</f>
        <v>#N/A</v>
      </c>
      <c r="T38" s="147">
        <f t="shared" si="8"/>
        <v>13774.450000000004</v>
      </c>
    </row>
    <row r="39" spans="1:20" s="6" customFormat="1" ht="46.5">
      <c r="A39" s="8"/>
      <c r="B39" s="44" t="s">
        <v>100</v>
      </c>
      <c r="C39" s="43">
        <v>21010301</v>
      </c>
      <c r="D39" s="150">
        <v>400</v>
      </c>
      <c r="E39" s="150">
        <v>380</v>
      </c>
      <c r="F39" s="156">
        <v>416.84</v>
      </c>
      <c r="G39" s="162">
        <f>F39-E39</f>
        <v>36.839999999999975</v>
      </c>
      <c r="H39" s="164">
        <f aca="true" t="shared" si="11" ref="H39:H62">F39/E39*100</f>
        <v>109.69473684210527</v>
      </c>
      <c r="I39" s="165">
        <f>F39-D39</f>
        <v>16.839999999999975</v>
      </c>
      <c r="J39" s="165">
        <f>F39/D39*100</f>
        <v>104.21000000000001</v>
      </c>
      <c r="K39" s="165">
        <v>-60.36</v>
      </c>
      <c r="L39" s="165">
        <f t="shared" si="1"/>
        <v>477.2</v>
      </c>
      <c r="M39" s="223">
        <f t="shared" si="10"/>
        <v>-6.905897945659377</v>
      </c>
      <c r="N39" s="164">
        <f>E39-липень!E39</f>
        <v>310</v>
      </c>
      <c r="O39" s="168">
        <f>F39-липень!F39</f>
        <v>175.45</v>
      </c>
      <c r="P39" s="167">
        <f>O39-N39</f>
        <v>-134.55</v>
      </c>
      <c r="Q39" s="165">
        <f aca="true" t="shared" si="12" ref="Q39:Q62">O39/N39*100</f>
        <v>56.596774193548384</v>
      </c>
      <c r="R39" s="37"/>
      <c r="S39" s="94"/>
      <c r="T39" s="147">
        <f t="shared" si="8"/>
        <v>20</v>
      </c>
    </row>
    <row r="40" spans="1:20" s="6" customFormat="1" ht="30.75">
      <c r="A40" s="8"/>
      <c r="B40" s="129" t="s">
        <v>78</v>
      </c>
      <c r="C40" s="42">
        <v>21050000</v>
      </c>
      <c r="D40" s="150">
        <v>25000</v>
      </c>
      <c r="E40" s="150">
        <f>17767+2700</f>
        <v>20467</v>
      </c>
      <c r="F40" s="156">
        <v>20560.18</v>
      </c>
      <c r="G40" s="162">
        <f aca="true" t="shared" si="13" ref="G40:G63">F40-E40</f>
        <v>93.18000000000029</v>
      </c>
      <c r="H40" s="164">
        <f t="shared" si="11"/>
        <v>100.45526945815215</v>
      </c>
      <c r="I40" s="165">
        <f aca="true" t="shared" si="14" ref="I40:I63">F40-D40</f>
        <v>-4439.82</v>
      </c>
      <c r="J40" s="165">
        <f>F40/D40*100</f>
        <v>82.24072</v>
      </c>
      <c r="K40" s="165">
        <v>201.37</v>
      </c>
      <c r="L40" s="165">
        <f t="shared" si="1"/>
        <v>20358.81</v>
      </c>
      <c r="M40" s="223"/>
      <c r="N40" s="164">
        <f>E40-липень!E40</f>
        <v>12930</v>
      </c>
      <c r="O40" s="168">
        <f>F40-липень!F40</f>
        <v>3289.16</v>
      </c>
      <c r="P40" s="167">
        <f aca="true" t="shared" si="15" ref="P40:P63">O40-N40</f>
        <v>-9640.84</v>
      </c>
      <c r="Q40" s="165">
        <f t="shared" si="12"/>
        <v>25.43820572312451</v>
      </c>
      <c r="R40" s="37"/>
      <c r="S40" s="94"/>
      <c r="T40" s="147">
        <f t="shared" si="8"/>
        <v>4533</v>
      </c>
    </row>
    <row r="41" spans="1:20" s="6" customFormat="1" ht="18">
      <c r="A41" s="8"/>
      <c r="B41" s="129" t="s">
        <v>61</v>
      </c>
      <c r="C41" s="42">
        <v>21080500</v>
      </c>
      <c r="D41" s="150">
        <v>111.44</v>
      </c>
      <c r="E41" s="150">
        <v>111.44</v>
      </c>
      <c r="F41" s="156">
        <v>28.07</v>
      </c>
      <c r="G41" s="162">
        <f t="shared" si="13"/>
        <v>-83.37</v>
      </c>
      <c r="H41" s="164">
        <f t="shared" si="11"/>
        <v>25.18844221105528</v>
      </c>
      <c r="I41" s="165">
        <f t="shared" si="14"/>
        <v>-83.37</v>
      </c>
      <c r="J41" s="165">
        <f aca="true" t="shared" si="16" ref="J41:J62">F41/D41*100</f>
        <v>25.18844221105528</v>
      </c>
      <c r="K41" s="165">
        <v>307.2</v>
      </c>
      <c r="L41" s="165">
        <f t="shared" si="1"/>
        <v>-279.13</v>
      </c>
      <c r="M41" s="223">
        <f aca="true" t="shared" si="17" ref="M41:M63">F41/K41</f>
        <v>0.09137369791666668</v>
      </c>
      <c r="N41" s="164">
        <f>E41-липень!E41</f>
        <v>0</v>
      </c>
      <c r="O41" s="168">
        <f>F41-липень!F41</f>
        <v>0</v>
      </c>
      <c r="P41" s="167">
        <f t="shared" si="15"/>
        <v>0</v>
      </c>
      <c r="Q41" s="165" t="e">
        <f t="shared" si="12"/>
        <v>#DIV/0!</v>
      </c>
      <c r="R41" s="37"/>
      <c r="S41" s="94"/>
      <c r="T41" s="147">
        <f t="shared" si="8"/>
        <v>0</v>
      </c>
    </row>
    <row r="42" spans="1:20" s="6" customFormat="1" ht="31.5">
      <c r="A42" s="8"/>
      <c r="B42" s="26" t="s">
        <v>39</v>
      </c>
      <c r="C42" s="71">
        <v>21080900</v>
      </c>
      <c r="D42" s="150">
        <f>6.5-6.5</f>
        <v>0</v>
      </c>
      <c r="E42" s="150">
        <v>0</v>
      </c>
      <c r="F42" s="156">
        <v>0.1</v>
      </c>
      <c r="G42" s="162">
        <f t="shared" si="13"/>
        <v>0.1</v>
      </c>
      <c r="H42" s="164"/>
      <c r="I42" s="165">
        <f t="shared" si="14"/>
        <v>0.1</v>
      </c>
      <c r="J42" s="165"/>
      <c r="K42" s="165">
        <v>0</v>
      </c>
      <c r="L42" s="165">
        <f t="shared" si="1"/>
        <v>0.1</v>
      </c>
      <c r="M42" s="223"/>
      <c r="N42" s="164">
        <f>E42-липень!E42</f>
        <v>0</v>
      </c>
      <c r="O42" s="168">
        <f>F42-липень!F42</f>
        <v>0</v>
      </c>
      <c r="P42" s="167">
        <f t="shared" si="15"/>
        <v>0</v>
      </c>
      <c r="Q42" s="165"/>
      <c r="R42" s="37"/>
      <c r="S42" s="94"/>
      <c r="T42" s="147">
        <f t="shared" si="8"/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150</v>
      </c>
      <c r="E43" s="150">
        <v>80</v>
      </c>
      <c r="F43" s="156">
        <v>195.12</v>
      </c>
      <c r="G43" s="162">
        <f t="shared" si="13"/>
        <v>115.12</v>
      </c>
      <c r="H43" s="164">
        <f t="shared" si="11"/>
        <v>243.9</v>
      </c>
      <c r="I43" s="165">
        <f t="shared" si="14"/>
        <v>45.120000000000005</v>
      </c>
      <c r="J43" s="165">
        <f t="shared" si="16"/>
        <v>130.07999999999998</v>
      </c>
      <c r="K43" s="165">
        <v>104.06</v>
      </c>
      <c r="L43" s="165">
        <f t="shared" si="1"/>
        <v>91.06</v>
      </c>
      <c r="M43" s="223">
        <f t="shared" si="17"/>
        <v>1.8750720738035749</v>
      </c>
      <c r="N43" s="164">
        <f>E43-липень!E43</f>
        <v>10</v>
      </c>
      <c r="O43" s="168">
        <f>F43-липень!F43</f>
        <v>7.159999999999997</v>
      </c>
      <c r="P43" s="167">
        <f t="shared" si="15"/>
        <v>-2.8400000000000034</v>
      </c>
      <c r="Q43" s="165">
        <f t="shared" si="12"/>
        <v>71.59999999999997</v>
      </c>
      <c r="R43" s="37"/>
      <c r="S43" s="94"/>
      <c r="T43" s="147">
        <f t="shared" si="8"/>
        <v>70</v>
      </c>
    </row>
    <row r="44" spans="1:20" s="6" customFormat="1" ht="46.5">
      <c r="A44" s="8"/>
      <c r="B44" s="130" t="s">
        <v>81</v>
      </c>
      <c r="C44" s="72">
        <v>21081500</v>
      </c>
      <c r="D44" s="150">
        <v>14</v>
      </c>
      <c r="E44" s="150">
        <v>14</v>
      </c>
      <c r="F44" s="156">
        <v>41.15</v>
      </c>
      <c r="G44" s="162">
        <f t="shared" si="13"/>
        <v>27.15</v>
      </c>
      <c r="H44" s="164"/>
      <c r="I44" s="165">
        <f t="shared" si="14"/>
        <v>27.15</v>
      </c>
      <c r="J44" s="165"/>
      <c r="K44" s="165">
        <v>3.5</v>
      </c>
      <c r="L44" s="165">
        <f t="shared" si="1"/>
        <v>37.65</v>
      </c>
      <c r="M44" s="223">
        <f t="shared" si="17"/>
        <v>11.757142857142856</v>
      </c>
      <c r="N44" s="164">
        <f>E44-липень!E44</f>
        <v>14</v>
      </c>
      <c r="O44" s="168">
        <f>F44-липень!F44</f>
        <v>13.669999999999998</v>
      </c>
      <c r="P44" s="167"/>
      <c r="Q44" s="165"/>
      <c r="R44" s="37"/>
      <c r="S44" s="94"/>
      <c r="T44" s="147">
        <f t="shared" si="8"/>
        <v>0</v>
      </c>
    </row>
    <row r="45" spans="1:20" s="6" customFormat="1" ht="30.75">
      <c r="A45" s="8"/>
      <c r="B45" s="148" t="s">
        <v>108</v>
      </c>
      <c r="C45" s="49">
        <v>22010300</v>
      </c>
      <c r="D45" s="150">
        <v>300</v>
      </c>
      <c r="E45" s="150">
        <v>256</v>
      </c>
      <c r="F45" s="156">
        <v>328.11</v>
      </c>
      <c r="G45" s="162">
        <f t="shared" si="13"/>
        <v>72.11000000000001</v>
      </c>
      <c r="H45" s="164">
        <f t="shared" si="11"/>
        <v>128.16796875</v>
      </c>
      <c r="I45" s="165">
        <f t="shared" si="14"/>
        <v>28.110000000000014</v>
      </c>
      <c r="J45" s="165">
        <f t="shared" si="16"/>
        <v>109.37</v>
      </c>
      <c r="K45" s="165">
        <v>0</v>
      </c>
      <c r="L45" s="165">
        <f t="shared" si="1"/>
        <v>328.11</v>
      </c>
      <c r="M45" s="223"/>
      <c r="N45" s="164">
        <f>E45-липень!E45</f>
        <v>208</v>
      </c>
      <c r="O45" s="168">
        <f>F45-липень!F45</f>
        <v>79.74000000000001</v>
      </c>
      <c r="P45" s="167">
        <f t="shared" si="15"/>
        <v>-128.26</v>
      </c>
      <c r="Q45" s="165">
        <f t="shared" si="12"/>
        <v>38.33653846153847</v>
      </c>
      <c r="R45" s="37"/>
      <c r="S45" s="94"/>
      <c r="T45" s="147">
        <f t="shared" si="8"/>
        <v>44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 t="shared" si="1"/>
        <v>0</v>
      </c>
      <c r="M46" s="223" t="e">
        <f t="shared" si="17"/>
        <v>#DIV/0!</v>
      </c>
      <c r="N46" s="164">
        <f>E46-липень!E46</f>
        <v>0</v>
      </c>
      <c r="O46" s="168">
        <f>F46-липень!F46</f>
        <v>0</v>
      </c>
      <c r="P46" s="167"/>
      <c r="Q46" s="165"/>
      <c r="R46" s="37"/>
      <c r="S46" s="94"/>
      <c r="T46" s="147">
        <f t="shared" si="8"/>
        <v>0</v>
      </c>
    </row>
    <row r="47" spans="1:20" s="6" customFormat="1" ht="18">
      <c r="A47" s="8"/>
      <c r="B47" s="33" t="s">
        <v>79</v>
      </c>
      <c r="C47" s="72">
        <v>22012500</v>
      </c>
      <c r="D47" s="150">
        <v>9900</v>
      </c>
      <c r="E47" s="150">
        <f>6139.02+910</f>
        <v>7049.02</v>
      </c>
      <c r="F47" s="156">
        <v>7062.64</v>
      </c>
      <c r="G47" s="162">
        <f t="shared" si="13"/>
        <v>13.61999999999989</v>
      </c>
      <c r="H47" s="164">
        <f t="shared" si="11"/>
        <v>100.19321834808244</v>
      </c>
      <c r="I47" s="165">
        <f t="shared" si="14"/>
        <v>-2837.3599999999997</v>
      </c>
      <c r="J47" s="165">
        <f t="shared" si="16"/>
        <v>71.33979797979798</v>
      </c>
      <c r="K47" s="165">
        <v>6772.05</v>
      </c>
      <c r="L47" s="165">
        <f t="shared" si="1"/>
        <v>290.59000000000015</v>
      </c>
      <c r="M47" s="223">
        <f t="shared" si="17"/>
        <v>1.0429101970599746</v>
      </c>
      <c r="N47" s="164">
        <f>E47-липень!E47</f>
        <v>1710</v>
      </c>
      <c r="O47" s="168">
        <f>F47-липень!F47</f>
        <v>972.0100000000002</v>
      </c>
      <c r="P47" s="167">
        <f t="shared" si="15"/>
        <v>-737.9899999999998</v>
      </c>
      <c r="Q47" s="165">
        <f t="shared" si="12"/>
        <v>56.84269005847955</v>
      </c>
      <c r="R47" s="37"/>
      <c r="S47" s="94"/>
      <c r="T47" s="147">
        <f t="shared" si="8"/>
        <v>2850.9799999999996</v>
      </c>
    </row>
    <row r="48" spans="1:20" s="6" customFormat="1" ht="31.5">
      <c r="A48" s="8"/>
      <c r="B48" s="149" t="s">
        <v>101</v>
      </c>
      <c r="C48" s="72">
        <v>22012600</v>
      </c>
      <c r="D48" s="150">
        <v>650</v>
      </c>
      <c r="E48" s="150">
        <v>650</v>
      </c>
      <c r="F48" s="156">
        <v>168.26</v>
      </c>
      <c r="G48" s="162">
        <f t="shared" si="13"/>
        <v>-481.74</v>
      </c>
      <c r="H48" s="164">
        <f t="shared" si="11"/>
        <v>25.886153846153842</v>
      </c>
      <c r="I48" s="165">
        <f t="shared" si="14"/>
        <v>-481.74</v>
      </c>
      <c r="J48" s="165">
        <f t="shared" si="16"/>
        <v>25.886153846153842</v>
      </c>
      <c r="K48" s="165">
        <v>0</v>
      </c>
      <c r="L48" s="165">
        <f t="shared" si="1"/>
        <v>168.26</v>
      </c>
      <c r="M48" s="223"/>
      <c r="N48" s="164">
        <f>E48-липень!E48</f>
        <v>0</v>
      </c>
      <c r="O48" s="168">
        <f>F48-липень!F48</f>
        <v>50.86999999999999</v>
      </c>
      <c r="P48" s="167">
        <f t="shared" si="15"/>
        <v>50.86999999999999</v>
      </c>
      <c r="Q48" s="165" t="e">
        <f t="shared" si="12"/>
        <v>#DIV/0!</v>
      </c>
      <c r="R48" s="37"/>
      <c r="S48" s="94"/>
      <c r="T48" s="147">
        <f t="shared" si="8"/>
        <v>0</v>
      </c>
    </row>
    <row r="49" spans="1:20" s="6" customFormat="1" ht="31.5">
      <c r="A49" s="8"/>
      <c r="B49" s="149" t="s">
        <v>109</v>
      </c>
      <c r="C49" s="72">
        <v>22012900</v>
      </c>
      <c r="D49" s="150">
        <v>50</v>
      </c>
      <c r="E49" s="150">
        <v>28</v>
      </c>
      <c r="F49" s="156">
        <v>15.44</v>
      </c>
      <c r="G49" s="162">
        <f t="shared" si="13"/>
        <v>-12.56</v>
      </c>
      <c r="H49" s="164">
        <f t="shared" si="11"/>
        <v>55.14285714285714</v>
      </c>
      <c r="I49" s="165">
        <f t="shared" si="14"/>
        <v>-34.56</v>
      </c>
      <c r="J49" s="165">
        <f t="shared" si="16"/>
        <v>30.879999999999995</v>
      </c>
      <c r="K49" s="165">
        <v>0</v>
      </c>
      <c r="L49" s="165">
        <f t="shared" si="1"/>
        <v>15.44</v>
      </c>
      <c r="M49" s="223"/>
      <c r="N49" s="164">
        <f>E49-липень!E49</f>
        <v>4</v>
      </c>
      <c r="O49" s="168">
        <f>F49-липень!F49</f>
        <v>6.9</v>
      </c>
      <c r="P49" s="167">
        <f t="shared" si="15"/>
        <v>2.9000000000000004</v>
      </c>
      <c r="Q49" s="165">
        <f t="shared" si="12"/>
        <v>172.5</v>
      </c>
      <c r="R49" s="37"/>
      <c r="S49" s="94"/>
      <c r="T49" s="147">
        <f t="shared" si="8"/>
        <v>22</v>
      </c>
    </row>
    <row r="50" spans="1:20" s="6" customFormat="1" ht="30.75">
      <c r="A50" s="8"/>
      <c r="B50" s="130" t="s">
        <v>14</v>
      </c>
      <c r="C50" s="49">
        <v>22080400</v>
      </c>
      <c r="D50" s="150">
        <v>8000</v>
      </c>
      <c r="E50" s="150">
        <v>5266.23</v>
      </c>
      <c r="F50" s="156">
        <v>5068.19</v>
      </c>
      <c r="G50" s="162">
        <f t="shared" si="13"/>
        <v>-198.03999999999996</v>
      </c>
      <c r="H50" s="164">
        <f t="shared" si="11"/>
        <v>96.23943504176611</v>
      </c>
      <c r="I50" s="165">
        <f t="shared" si="14"/>
        <v>-2931.8100000000004</v>
      </c>
      <c r="J50" s="165">
        <f t="shared" si="16"/>
        <v>63.352374999999995</v>
      </c>
      <c r="K50" s="165">
        <v>5864.85</v>
      </c>
      <c r="L50" s="165">
        <f t="shared" si="1"/>
        <v>-796.6600000000008</v>
      </c>
      <c r="M50" s="223">
        <f t="shared" si="17"/>
        <v>0.8641636188478817</v>
      </c>
      <c r="N50" s="164">
        <f>E50-липень!E50</f>
        <v>650</v>
      </c>
      <c r="O50" s="168">
        <f>F50-липень!F50</f>
        <v>570.1899999999996</v>
      </c>
      <c r="P50" s="167">
        <f t="shared" si="15"/>
        <v>-79.8100000000004</v>
      </c>
      <c r="Q50" s="165">
        <f t="shared" si="12"/>
        <v>87.7215384615384</v>
      </c>
      <c r="R50" s="37"/>
      <c r="S50" s="94"/>
      <c r="T50" s="147">
        <f t="shared" si="8"/>
        <v>2733.7700000000004</v>
      </c>
    </row>
    <row r="51" spans="1:20" s="6" customFormat="1" ht="18">
      <c r="A51" s="8"/>
      <c r="B51" s="130" t="s">
        <v>15</v>
      </c>
      <c r="C51" s="43">
        <v>22090000</v>
      </c>
      <c r="D51" s="150">
        <v>7000.04</v>
      </c>
      <c r="E51" s="150">
        <v>4391.19</v>
      </c>
      <c r="F51" s="156">
        <v>4347.61</v>
      </c>
      <c r="G51" s="162">
        <f t="shared" si="13"/>
        <v>-43.57999999999993</v>
      </c>
      <c r="H51" s="164">
        <f t="shared" si="11"/>
        <v>99.00755831562743</v>
      </c>
      <c r="I51" s="165">
        <f t="shared" si="14"/>
        <v>-2652.4300000000003</v>
      </c>
      <c r="J51" s="165">
        <f t="shared" si="16"/>
        <v>62.108359380803535</v>
      </c>
      <c r="K51" s="165">
        <v>5221.43</v>
      </c>
      <c r="L51" s="165">
        <f t="shared" si="1"/>
        <v>-873.8200000000006</v>
      </c>
      <c r="M51" s="223">
        <f t="shared" si="17"/>
        <v>0.8326473782086515</v>
      </c>
      <c r="N51" s="164">
        <f>E51-липень!E51</f>
        <v>519.9999999999995</v>
      </c>
      <c r="O51" s="168">
        <f>F51-липень!F51</f>
        <v>622.8199999999997</v>
      </c>
      <c r="P51" s="167">
        <f t="shared" si="15"/>
        <v>102.82000000000016</v>
      </c>
      <c r="Q51" s="165">
        <f t="shared" si="12"/>
        <v>119.77307692307697</v>
      </c>
      <c r="R51" s="37"/>
      <c r="S51" s="94"/>
      <c r="T51" s="147">
        <f t="shared" si="8"/>
        <v>2608.8500000000004</v>
      </c>
    </row>
    <row r="52" spans="1:20" s="6" customFormat="1" ht="15" hidden="1">
      <c r="A52" s="8"/>
      <c r="B52" s="50" t="s">
        <v>99</v>
      </c>
      <c r="C52" s="123">
        <v>22090100</v>
      </c>
      <c r="D52" s="103">
        <v>970</v>
      </c>
      <c r="E52" s="103">
        <v>663.99</v>
      </c>
      <c r="F52" s="140">
        <v>570.13</v>
      </c>
      <c r="G52" s="34">
        <f t="shared" si="13"/>
        <v>-93.86000000000001</v>
      </c>
      <c r="H52" s="30">
        <f t="shared" si="11"/>
        <v>85.86424494344794</v>
      </c>
      <c r="I52" s="104">
        <f t="shared" si="14"/>
        <v>-399.87</v>
      </c>
      <c r="J52" s="104">
        <f t="shared" si="16"/>
        <v>58.77628865979382</v>
      </c>
      <c r="K52" s="104">
        <v>735.13</v>
      </c>
      <c r="L52" s="104">
        <f>F52-K52</f>
        <v>-165</v>
      </c>
      <c r="M52" s="109">
        <f t="shared" si="17"/>
        <v>0.7755499027382912</v>
      </c>
      <c r="N52" s="105">
        <f>E52-липень!E52</f>
        <v>20</v>
      </c>
      <c r="O52" s="144">
        <f>F52-липень!F52</f>
        <v>65.99000000000001</v>
      </c>
      <c r="P52" s="106">
        <f t="shared" si="15"/>
        <v>45.99000000000001</v>
      </c>
      <c r="Q52" s="119">
        <f t="shared" si="12"/>
        <v>329.95000000000005</v>
      </c>
      <c r="R52" s="37"/>
      <c r="S52" s="94"/>
      <c r="T52" s="147">
        <f t="shared" si="8"/>
        <v>306.01</v>
      </c>
    </row>
    <row r="53" spans="1:20" s="6" customFormat="1" ht="15" hidden="1">
      <c r="A53" s="8"/>
      <c r="B53" s="50" t="s">
        <v>96</v>
      </c>
      <c r="C53" s="123">
        <v>22090200</v>
      </c>
      <c r="D53" s="103">
        <v>5.04</v>
      </c>
      <c r="E53" s="103">
        <v>5.04</v>
      </c>
      <c r="F53" s="140">
        <v>0.27</v>
      </c>
      <c r="G53" s="34">
        <f t="shared" si="13"/>
        <v>-4.77</v>
      </c>
      <c r="H53" s="30">
        <f t="shared" si="11"/>
        <v>5.357142857142858</v>
      </c>
      <c r="I53" s="104">
        <f t="shared" si="14"/>
        <v>-4.77</v>
      </c>
      <c r="J53" s="104">
        <f t="shared" si="16"/>
        <v>5.357142857142858</v>
      </c>
      <c r="K53" s="104">
        <v>45.45</v>
      </c>
      <c r="L53" s="104">
        <f>F53-K53</f>
        <v>-45.18</v>
      </c>
      <c r="M53" s="109">
        <f t="shared" si="17"/>
        <v>0.005940594059405941</v>
      </c>
      <c r="N53" s="105">
        <f>E53-липень!E53</f>
        <v>0</v>
      </c>
      <c r="O53" s="144">
        <f>F53-липень!F53</f>
        <v>0.010000000000000009</v>
      </c>
      <c r="P53" s="106">
        <f t="shared" si="15"/>
        <v>0.010000000000000009</v>
      </c>
      <c r="Q53" s="119" t="e">
        <f t="shared" si="12"/>
        <v>#DIV/0!</v>
      </c>
      <c r="R53" s="37"/>
      <c r="S53" s="94"/>
      <c r="T53" s="147">
        <f t="shared" si="8"/>
        <v>0</v>
      </c>
    </row>
    <row r="54" spans="1:20" s="6" customFormat="1" ht="15" hidden="1">
      <c r="A54" s="8"/>
      <c r="B54" s="50" t="s">
        <v>97</v>
      </c>
      <c r="C54" s="123">
        <v>22090300</v>
      </c>
      <c r="D54" s="103">
        <v>1</v>
      </c>
      <c r="E54" s="103">
        <v>0</v>
      </c>
      <c r="F54" s="140">
        <v>0.02</v>
      </c>
      <c r="G54" s="34">
        <f t="shared" si="13"/>
        <v>0.02</v>
      </c>
      <c r="H54" s="30"/>
      <c r="I54" s="104">
        <f t="shared" si="14"/>
        <v>-0.98</v>
      </c>
      <c r="J54" s="104">
        <f t="shared" si="16"/>
        <v>2</v>
      </c>
      <c r="K54" s="104">
        <v>0.75</v>
      </c>
      <c r="L54" s="104">
        <f>F54-K54</f>
        <v>-0.73</v>
      </c>
      <c r="M54" s="109">
        <f t="shared" si="17"/>
        <v>0.02666666666666667</v>
      </c>
      <c r="N54" s="105">
        <f>E54-липень!E54</f>
        <v>0</v>
      </c>
      <c r="O54" s="144">
        <f>F54-липень!F54</f>
        <v>0</v>
      </c>
      <c r="P54" s="106">
        <f t="shared" si="15"/>
        <v>0</v>
      </c>
      <c r="Q54" s="119"/>
      <c r="R54" s="37"/>
      <c r="S54" s="94"/>
      <c r="T54" s="147">
        <f t="shared" si="8"/>
        <v>1</v>
      </c>
    </row>
    <row r="55" spans="1:20" s="6" customFormat="1" ht="15" hidden="1">
      <c r="A55" s="8"/>
      <c r="B55" s="50" t="s">
        <v>98</v>
      </c>
      <c r="C55" s="123">
        <v>22090400</v>
      </c>
      <c r="D55" s="103">
        <v>6024</v>
      </c>
      <c r="E55" s="103">
        <v>3722.17</v>
      </c>
      <c r="F55" s="140">
        <v>3777.19</v>
      </c>
      <c r="G55" s="34">
        <f t="shared" si="13"/>
        <v>55.01999999999998</v>
      </c>
      <c r="H55" s="30">
        <f t="shared" si="11"/>
        <v>101.4781699922357</v>
      </c>
      <c r="I55" s="104">
        <f t="shared" si="14"/>
        <v>-2246.81</v>
      </c>
      <c r="J55" s="104">
        <f t="shared" si="16"/>
        <v>62.7023572377158</v>
      </c>
      <c r="K55" s="104">
        <v>4440.11</v>
      </c>
      <c r="L55" s="104">
        <f>F55-K55</f>
        <v>-662.9199999999996</v>
      </c>
      <c r="M55" s="109">
        <f t="shared" si="17"/>
        <v>0.8506973926321646</v>
      </c>
      <c r="N55" s="105">
        <f>E55-липень!E55</f>
        <v>500</v>
      </c>
      <c r="O55" s="144">
        <f>F55-липень!F55</f>
        <v>556.81</v>
      </c>
      <c r="P55" s="106">
        <f t="shared" si="15"/>
        <v>56.809999999999945</v>
      </c>
      <c r="Q55" s="119">
        <f t="shared" si="12"/>
        <v>111.36199999999998</v>
      </c>
      <c r="R55" s="37"/>
      <c r="S55" s="94"/>
      <c r="T55" s="147">
        <f t="shared" si="8"/>
        <v>2301.83</v>
      </c>
    </row>
    <row r="56" spans="1:20" s="6" customFormat="1" ht="46.5">
      <c r="A56" s="8"/>
      <c r="B56" s="13" t="s">
        <v>17</v>
      </c>
      <c r="C56" s="11" t="s">
        <v>18</v>
      </c>
      <c r="D56" s="150">
        <v>10</v>
      </c>
      <c r="E56" s="150">
        <v>0.17</v>
      </c>
      <c r="F56" s="156">
        <v>2.46</v>
      </c>
      <c r="G56" s="162">
        <f t="shared" si="13"/>
        <v>2.29</v>
      </c>
      <c r="H56" s="164">
        <f t="shared" si="11"/>
        <v>1447.0588235294117</v>
      </c>
      <c r="I56" s="165">
        <f t="shared" si="14"/>
        <v>-7.54</v>
      </c>
      <c r="J56" s="165">
        <f t="shared" si="16"/>
        <v>24.6</v>
      </c>
      <c r="K56" s="165">
        <v>0</v>
      </c>
      <c r="L56" s="165">
        <f>F56-K56</f>
        <v>2.46</v>
      </c>
      <c r="M56" s="223" t="e">
        <f t="shared" si="17"/>
        <v>#DIV/0!</v>
      </c>
      <c r="N56" s="164">
        <f>E56-липень!E56</f>
        <v>0</v>
      </c>
      <c r="O56" s="168">
        <f>F56-липень!F56</f>
        <v>0</v>
      </c>
      <c r="P56" s="167">
        <f t="shared" si="15"/>
        <v>0</v>
      </c>
      <c r="Q56" s="165"/>
      <c r="R56" s="37"/>
      <c r="S56" s="94"/>
      <c r="T56" s="147">
        <f t="shared" si="8"/>
        <v>9.83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5150</v>
      </c>
      <c r="E57" s="150">
        <f>3567.98+700</f>
        <v>4267.98</v>
      </c>
      <c r="F57" s="156">
        <v>4601.83</v>
      </c>
      <c r="G57" s="162">
        <f t="shared" si="13"/>
        <v>333.85000000000036</v>
      </c>
      <c r="H57" s="164">
        <f t="shared" si="11"/>
        <v>107.8222016035689</v>
      </c>
      <c r="I57" s="165">
        <f t="shared" si="14"/>
        <v>-548.1700000000001</v>
      </c>
      <c r="J57" s="165">
        <f t="shared" si="16"/>
        <v>89.35592233009709</v>
      </c>
      <c r="K57" s="165">
        <v>3192.65</v>
      </c>
      <c r="L57" s="165">
        <f aca="true" t="shared" si="18" ref="L57:L63">F57-K57</f>
        <v>1409.1799999999998</v>
      </c>
      <c r="M57" s="223">
        <f t="shared" si="17"/>
        <v>1.4413825505457847</v>
      </c>
      <c r="N57" s="164">
        <f>E57-липень!E57</f>
        <v>1629.9999999999995</v>
      </c>
      <c r="O57" s="168">
        <f>F57-липень!F57</f>
        <v>339.9300000000003</v>
      </c>
      <c r="P57" s="167">
        <f t="shared" si="15"/>
        <v>-1290.0699999999993</v>
      </c>
      <c r="Q57" s="165">
        <f t="shared" si="12"/>
        <v>20.85460122699389</v>
      </c>
      <c r="R57" s="37"/>
      <c r="S57" s="94"/>
      <c r="T57" s="147">
        <f t="shared" si="8"/>
        <v>882.0200000000004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 t="shared" si="13"/>
        <v>0</v>
      </c>
      <c r="H58" s="164" t="e">
        <f t="shared" si="11"/>
        <v>#DIV/0!</v>
      </c>
      <c r="I58" s="165">
        <f t="shared" si="14"/>
        <v>0</v>
      </c>
      <c r="J58" s="165" t="e">
        <f t="shared" si="16"/>
        <v>#DIV/0!</v>
      </c>
      <c r="K58" s="165"/>
      <c r="L58" s="165">
        <f t="shared" si="18"/>
        <v>0</v>
      </c>
      <c r="M58" s="223" t="e">
        <f t="shared" si="17"/>
        <v>#DIV/0!</v>
      </c>
      <c r="N58" s="164">
        <f>E58-липень!E58</f>
        <v>0</v>
      </c>
      <c r="O58" s="168" t="e">
        <f>F58-#REF!</f>
        <v>#REF!</v>
      </c>
      <c r="P58" s="167" t="e">
        <f t="shared" si="15"/>
        <v>#REF!</v>
      </c>
      <c r="Q58" s="165" t="e">
        <f t="shared" si="12"/>
        <v>#REF!</v>
      </c>
      <c r="R58" s="37"/>
      <c r="S58" s="94"/>
      <c r="T58" s="147">
        <f t="shared" si="8"/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3">
        <v>889.8</v>
      </c>
      <c r="G59" s="162"/>
      <c r="H59" s="164"/>
      <c r="I59" s="165"/>
      <c r="J59" s="165"/>
      <c r="K59" s="166">
        <v>890.52</v>
      </c>
      <c r="L59" s="165">
        <f t="shared" si="18"/>
        <v>-0.7200000000000273</v>
      </c>
      <c r="M59" s="223">
        <f t="shared" si="17"/>
        <v>0.9991914836275434</v>
      </c>
      <c r="N59" s="195"/>
      <c r="O59" s="179">
        <f>F59-липень!F59</f>
        <v>158.91999999999996</v>
      </c>
      <c r="P59" s="166"/>
      <c r="Q59" s="165"/>
      <c r="R59" s="37"/>
      <c r="S59" s="94"/>
      <c r="T59" s="147">
        <f t="shared" si="8"/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 t="shared" si="13"/>
        <v>0</v>
      </c>
      <c r="H60" s="164"/>
      <c r="I60" s="165">
        <f t="shared" si="14"/>
        <v>0</v>
      </c>
      <c r="J60" s="165"/>
      <c r="K60" s="166"/>
      <c r="L60" s="165">
        <f t="shared" si="18"/>
        <v>0</v>
      </c>
      <c r="M60" s="223" t="e">
        <f t="shared" si="17"/>
        <v>#DIV/0!</v>
      </c>
      <c r="N60" s="164" t="e">
        <f>E60-#REF!</f>
        <v>#REF!</v>
      </c>
      <c r="O60" s="168" t="e">
        <f>F60-#REF!</f>
        <v>#REF!</v>
      </c>
      <c r="P60" s="167" t="e">
        <f t="shared" si="15"/>
        <v>#REF!</v>
      </c>
      <c r="Q60" s="165"/>
      <c r="R60" s="37"/>
      <c r="S60" s="94"/>
      <c r="T60" s="147">
        <f t="shared" si="8"/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100</v>
      </c>
      <c r="E61" s="150">
        <v>100</v>
      </c>
      <c r="F61" s="156">
        <v>152.27</v>
      </c>
      <c r="G61" s="162">
        <f t="shared" si="13"/>
        <v>52.27000000000001</v>
      </c>
      <c r="H61" s="164">
        <f t="shared" si="11"/>
        <v>152.27</v>
      </c>
      <c r="I61" s="165">
        <f t="shared" si="14"/>
        <v>52.27000000000001</v>
      </c>
      <c r="J61" s="165">
        <f t="shared" si="16"/>
        <v>152.27</v>
      </c>
      <c r="K61" s="165">
        <v>0.6</v>
      </c>
      <c r="L61" s="165">
        <f t="shared" si="18"/>
        <v>151.67000000000002</v>
      </c>
      <c r="M61" s="223">
        <f t="shared" si="17"/>
        <v>253.78333333333336</v>
      </c>
      <c r="N61" s="164">
        <f>E61-липень!E61</f>
        <v>80</v>
      </c>
      <c r="O61" s="168">
        <f>F61-липень!F61</f>
        <v>74.09</v>
      </c>
      <c r="P61" s="167">
        <f t="shared" si="15"/>
        <v>-5.909999999999997</v>
      </c>
      <c r="Q61" s="165"/>
      <c r="R61" s="37"/>
      <c r="S61" s="94"/>
      <c r="T61" s="147">
        <f t="shared" si="8"/>
        <v>0</v>
      </c>
    </row>
    <row r="62" spans="1:20" s="6" customFormat="1" ht="18">
      <c r="A62" s="8"/>
      <c r="B62" s="12" t="s">
        <v>44</v>
      </c>
      <c r="C62" s="43">
        <v>31010200</v>
      </c>
      <c r="D62" s="150">
        <v>30</v>
      </c>
      <c r="E62" s="150">
        <v>16.8</v>
      </c>
      <c r="F62" s="156">
        <v>13.52</v>
      </c>
      <c r="G62" s="162">
        <f t="shared" si="13"/>
        <v>-3.280000000000001</v>
      </c>
      <c r="H62" s="164">
        <f t="shared" si="11"/>
        <v>80.47619047619047</v>
      </c>
      <c r="I62" s="165">
        <f t="shared" si="14"/>
        <v>-16.48</v>
      </c>
      <c r="J62" s="165">
        <f t="shared" si="16"/>
        <v>45.06666666666666</v>
      </c>
      <c r="K62" s="165">
        <v>14.42</v>
      </c>
      <c r="L62" s="165">
        <f t="shared" si="18"/>
        <v>-0.9000000000000004</v>
      </c>
      <c r="M62" s="223">
        <f t="shared" si="17"/>
        <v>0.9375866851595007</v>
      </c>
      <c r="N62" s="164">
        <f>E62-липень!E62</f>
        <v>2.3000000000000007</v>
      </c>
      <c r="O62" s="168">
        <f>F62-липень!F62</f>
        <v>0</v>
      </c>
      <c r="P62" s="167">
        <f t="shared" si="15"/>
        <v>-2.3000000000000007</v>
      </c>
      <c r="Q62" s="165">
        <f t="shared" si="12"/>
        <v>0</v>
      </c>
      <c r="R62" s="37"/>
      <c r="S62" s="94"/>
      <c r="T62" s="147">
        <f t="shared" si="8"/>
        <v>13.2</v>
      </c>
    </row>
    <row r="63" spans="1:20" s="6" customFormat="1" ht="30.75">
      <c r="A63" s="8"/>
      <c r="B63" s="12" t="s">
        <v>57</v>
      </c>
      <c r="C63" s="43">
        <v>31020000</v>
      </c>
      <c r="D63" s="150">
        <v>0.8</v>
      </c>
      <c r="E63" s="150">
        <v>0.2</v>
      </c>
      <c r="F63" s="156">
        <v>1.03</v>
      </c>
      <c r="G63" s="162">
        <f t="shared" si="13"/>
        <v>0.8300000000000001</v>
      </c>
      <c r="H63" s="164"/>
      <c r="I63" s="165">
        <f t="shared" si="14"/>
        <v>0.22999999999999998</v>
      </c>
      <c r="J63" s="165"/>
      <c r="K63" s="165">
        <v>0.31</v>
      </c>
      <c r="L63" s="165">
        <f t="shared" si="18"/>
        <v>0.72</v>
      </c>
      <c r="M63" s="223">
        <f t="shared" si="17"/>
        <v>3.3225806451612905</v>
      </c>
      <c r="N63" s="164">
        <f>E63-липень!E63</f>
        <v>0.2</v>
      </c>
      <c r="O63" s="168">
        <f>F63-липень!F63</f>
        <v>0.010000000000000009</v>
      </c>
      <c r="P63" s="167">
        <f t="shared" si="15"/>
        <v>-0.19</v>
      </c>
      <c r="Q63" s="165"/>
      <c r="R63" s="37"/>
      <c r="S63" s="94"/>
      <c r="T63" s="147">
        <f t="shared" si="8"/>
        <v>0.6000000000000001</v>
      </c>
    </row>
    <row r="64" spans="1:21" s="6" customFormat="1" ht="18">
      <c r="A64" s="9"/>
      <c r="B64" s="14" t="s">
        <v>28</v>
      </c>
      <c r="C64" s="62"/>
      <c r="D64" s="151">
        <f>D8+D38+D62+D63</f>
        <v>990937.7300000001</v>
      </c>
      <c r="E64" s="151">
        <f>E8+E38+E62+E63</f>
        <v>672436.01</v>
      </c>
      <c r="F64" s="151">
        <f>F8+F38+F62+F63-0.02</f>
        <v>676523.63</v>
      </c>
      <c r="G64" s="151">
        <f>F64-E64</f>
        <v>4087.6199999999953</v>
      </c>
      <c r="H64" s="152">
        <f>F64/E64*100</f>
        <v>100.60788237679299</v>
      </c>
      <c r="I64" s="153">
        <f>F64-D64</f>
        <v>-314414.1000000001</v>
      </c>
      <c r="J64" s="153">
        <f>F64/D64*100</f>
        <v>68.27105372201339</v>
      </c>
      <c r="K64" s="153">
        <v>451134.19</v>
      </c>
      <c r="L64" s="153">
        <f>F64-K64</f>
        <v>225389.44</v>
      </c>
      <c r="M64" s="224">
        <f>F64/K64</f>
        <v>1.4996062036441973</v>
      </c>
      <c r="N64" s="151">
        <f>N8+N38+N62+N63</f>
        <v>148475.19999999995</v>
      </c>
      <c r="O64" s="151">
        <f>O8+O38+O62+O63-0.03</f>
        <v>95915.83999999997</v>
      </c>
      <c r="P64" s="155">
        <f>O64-N64</f>
        <v>-52559.359999999986</v>
      </c>
      <c r="Q64" s="153">
        <f>O64/N64*100</f>
        <v>64.60057976012156</v>
      </c>
      <c r="R64" s="27">
        <f>O64-34768</f>
        <v>61147.83999999997</v>
      </c>
      <c r="S64" s="115">
        <f>O64/34768</f>
        <v>2.758739070409571</v>
      </c>
      <c r="T64" s="147">
        <f t="shared" si="8"/>
        <v>318501.7200000001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 t="shared" si="8"/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 t="shared" si="8"/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 t="shared" si="8"/>
        <v>0</v>
      </c>
    </row>
    <row r="68" spans="2:20" ht="15">
      <c r="B68" s="22" t="s">
        <v>111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 t="shared" si="8"/>
        <v>0</v>
      </c>
    </row>
    <row r="69" spans="2:20" ht="25.5" customHeight="1">
      <c r="B69" s="134" t="s">
        <v>102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v>0.01</v>
      </c>
      <c r="L69" s="167">
        <f>F69-K69</f>
        <v>0</v>
      </c>
      <c r="M69" s="211">
        <f>F69/K69</f>
        <v>1</v>
      </c>
      <c r="N69" s="162"/>
      <c r="O69" s="182">
        <f>F69-липень!F69</f>
        <v>0</v>
      </c>
      <c r="P69" s="167"/>
      <c r="Q69" s="167"/>
      <c r="R69" s="38"/>
      <c r="S69" s="97"/>
      <c r="T69" s="147">
        <f t="shared" si="8"/>
        <v>0</v>
      </c>
    </row>
    <row r="70" spans="2:20" ht="31.5">
      <c r="B70" s="23" t="s">
        <v>62</v>
      </c>
      <c r="C70" s="73">
        <v>18041500</v>
      </c>
      <c r="D70" s="180">
        <v>0</v>
      </c>
      <c r="E70" s="180"/>
      <c r="F70" s="181">
        <v>-3.83</v>
      </c>
      <c r="G70" s="162">
        <f>F70-E70</f>
        <v>-3.83</v>
      </c>
      <c r="H70" s="164"/>
      <c r="I70" s="167">
        <f>F70-D70</f>
        <v>-3.83</v>
      </c>
      <c r="J70" s="167"/>
      <c r="K70" s="167">
        <v>-49.19</v>
      </c>
      <c r="L70" s="167">
        <f>F70-K70</f>
        <v>45.36</v>
      </c>
      <c r="M70" s="211">
        <f>F70/K70</f>
        <v>0.07786135393372637</v>
      </c>
      <c r="N70" s="164"/>
      <c r="O70" s="182">
        <f>F70-липень!F70</f>
        <v>-1.5300000000000002</v>
      </c>
      <c r="P70" s="167">
        <f>O70-N70</f>
        <v>-1.5300000000000002</v>
      </c>
      <c r="Q70" s="167"/>
      <c r="R70" s="38"/>
      <c r="S70" s="97"/>
      <c r="T70" s="147">
        <f t="shared" si="8"/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-3.8200000000000003</v>
      </c>
      <c r="G71" s="185">
        <f>F71-E71</f>
        <v>-3.8200000000000003</v>
      </c>
      <c r="H71" s="186"/>
      <c r="I71" s="187">
        <f>F71-D71</f>
        <v>-3.8200000000000003</v>
      </c>
      <c r="J71" s="187"/>
      <c r="K71" s="187">
        <v>-49.19</v>
      </c>
      <c r="L71" s="187">
        <f>F71-K71</f>
        <v>45.37</v>
      </c>
      <c r="M71" s="217">
        <f>F71/K71</f>
        <v>0.077658060581419</v>
      </c>
      <c r="N71" s="185">
        <f>N70</f>
        <v>0</v>
      </c>
      <c r="O71" s="188">
        <f>SUM(O69:O70)</f>
        <v>-1.5300000000000002</v>
      </c>
      <c r="P71" s="187">
        <f>O71-N71</f>
        <v>-1.5300000000000002</v>
      </c>
      <c r="Q71" s="187"/>
      <c r="R71" s="39"/>
      <c r="S71" s="98"/>
      <c r="T71" s="147">
        <f t="shared" si="8"/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18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 t="shared" si="8"/>
        <v>0</v>
      </c>
    </row>
    <row r="73" spans="2:20" ht="31.5">
      <c r="B73" s="23" t="s">
        <v>29</v>
      </c>
      <c r="C73" s="73">
        <v>31030000</v>
      </c>
      <c r="D73" s="180">
        <v>4200</v>
      </c>
      <c r="E73" s="180">
        <v>2200</v>
      </c>
      <c r="F73" s="181">
        <v>1535.17</v>
      </c>
      <c r="G73" s="162">
        <f aca="true" t="shared" si="19" ref="G73:G83">F73-E73</f>
        <v>-664.8299999999999</v>
      </c>
      <c r="H73" s="164"/>
      <c r="I73" s="167">
        <f aca="true" t="shared" si="20" ref="I73:I83">F73-D73</f>
        <v>-2664.83</v>
      </c>
      <c r="J73" s="167">
        <f>F73/D73*100</f>
        <v>36.55166666666666</v>
      </c>
      <c r="K73" s="167">
        <v>593.02</v>
      </c>
      <c r="L73" s="167">
        <f aca="true" t="shared" si="21" ref="L73:L83">F73-K73</f>
        <v>942.1500000000001</v>
      </c>
      <c r="M73" s="211">
        <f>F73/K73</f>
        <v>2.5887322518633438</v>
      </c>
      <c r="N73" s="164">
        <f>E73-липень!E73</f>
        <v>400</v>
      </c>
      <c r="O73" s="168">
        <f>F73-липень!F73</f>
        <v>0.11000000000012733</v>
      </c>
      <c r="P73" s="167">
        <f aca="true" t="shared" si="22" ref="P73:P86">O73-N73</f>
        <v>-399.8899999999999</v>
      </c>
      <c r="Q73" s="167">
        <f>O73/N73*100</f>
        <v>0.027500000000031832</v>
      </c>
      <c r="R73" s="38"/>
      <c r="S73" s="97"/>
      <c r="T73" s="147">
        <f t="shared" si="8"/>
        <v>2000</v>
      </c>
    </row>
    <row r="74" spans="2:20" ht="18">
      <c r="B74" s="23" t="s">
        <v>30</v>
      </c>
      <c r="C74" s="73">
        <v>33010000</v>
      </c>
      <c r="D74" s="180">
        <v>7459</v>
      </c>
      <c r="E74" s="180">
        <v>3877.21</v>
      </c>
      <c r="F74" s="181">
        <v>6783.53</v>
      </c>
      <c r="G74" s="162">
        <f t="shared" si="19"/>
        <v>2906.3199999999997</v>
      </c>
      <c r="H74" s="164">
        <f>F74/E74*100</f>
        <v>174.95905560957493</v>
      </c>
      <c r="I74" s="167">
        <f t="shared" si="20"/>
        <v>-675.4700000000003</v>
      </c>
      <c r="J74" s="167">
        <f>F74/D74*100</f>
        <v>90.94422844885372</v>
      </c>
      <c r="K74" s="167">
        <v>3758.64</v>
      </c>
      <c r="L74" s="167">
        <f t="shared" si="21"/>
        <v>3024.89</v>
      </c>
      <c r="M74" s="211">
        <f>F74/K74</f>
        <v>1.8047831130408871</v>
      </c>
      <c r="N74" s="164">
        <f>E74-липень!E74</f>
        <v>549.9000000000001</v>
      </c>
      <c r="O74" s="168">
        <f>F74-липень!F74</f>
        <v>32.029999999999745</v>
      </c>
      <c r="P74" s="167">
        <f t="shared" si="22"/>
        <v>-517.8700000000003</v>
      </c>
      <c r="Q74" s="167">
        <f>O74/N74*100</f>
        <v>5.824695399163437</v>
      </c>
      <c r="R74" s="38"/>
      <c r="S74" s="97"/>
      <c r="T74" s="147">
        <f aca="true" t="shared" si="23" ref="T74:T90">D74-E74</f>
        <v>3581.79</v>
      </c>
    </row>
    <row r="75" spans="2:20" ht="31.5">
      <c r="B75" s="23" t="s">
        <v>54</v>
      </c>
      <c r="C75" s="73">
        <v>24170000</v>
      </c>
      <c r="D75" s="180">
        <v>6000</v>
      </c>
      <c r="E75" s="180">
        <v>2396.85</v>
      </c>
      <c r="F75" s="181">
        <v>10477.14</v>
      </c>
      <c r="G75" s="162">
        <f t="shared" si="19"/>
        <v>8080.289999999999</v>
      </c>
      <c r="H75" s="164">
        <f>F75/E75*100</f>
        <v>437.1212216033544</v>
      </c>
      <c r="I75" s="167">
        <f t="shared" si="20"/>
        <v>4477.139999999999</v>
      </c>
      <c r="J75" s="167">
        <f>F75/D75*100</f>
        <v>174.619</v>
      </c>
      <c r="K75" s="167">
        <v>1838.64</v>
      </c>
      <c r="L75" s="167">
        <f t="shared" si="21"/>
        <v>8638.5</v>
      </c>
      <c r="M75" s="211">
        <f>F75/K75</f>
        <v>5.698309620154026</v>
      </c>
      <c r="N75" s="164">
        <f>E75-липень!E75</f>
        <v>302</v>
      </c>
      <c r="O75" s="168">
        <f>F75-липень!F75</f>
        <v>967.4499999999989</v>
      </c>
      <c r="P75" s="167">
        <f t="shared" si="22"/>
        <v>665.4499999999989</v>
      </c>
      <c r="Q75" s="167">
        <f>O75/N75*100</f>
        <v>320.34768211920493</v>
      </c>
      <c r="R75" s="38"/>
      <c r="S75" s="97"/>
      <c r="T75" s="147">
        <f t="shared" si="23"/>
        <v>3603.15</v>
      </c>
    </row>
    <row r="76" spans="2:20" ht="18">
      <c r="B76" s="23" t="s">
        <v>103</v>
      </c>
      <c r="C76" s="73">
        <v>24110700</v>
      </c>
      <c r="D76" s="180">
        <v>12</v>
      </c>
      <c r="E76" s="180">
        <v>8</v>
      </c>
      <c r="F76" s="181">
        <v>6</v>
      </c>
      <c r="G76" s="162">
        <f t="shared" si="19"/>
        <v>-2</v>
      </c>
      <c r="H76" s="164">
        <f>F76/E76*100</f>
        <v>75</v>
      </c>
      <c r="I76" s="167">
        <f t="shared" si="20"/>
        <v>-6</v>
      </c>
      <c r="J76" s="167">
        <f>F76/D76*100</f>
        <v>50</v>
      </c>
      <c r="K76" s="167">
        <v>0</v>
      </c>
      <c r="L76" s="167">
        <f t="shared" si="21"/>
        <v>6</v>
      </c>
      <c r="M76" s="211"/>
      <c r="N76" s="164">
        <f>E76-липень!E76</f>
        <v>1</v>
      </c>
      <c r="O76" s="168">
        <f>F76-липень!F76</f>
        <v>0</v>
      </c>
      <c r="P76" s="167">
        <f t="shared" si="22"/>
        <v>-1</v>
      </c>
      <c r="Q76" s="167">
        <f>O76/N76*100</f>
        <v>0</v>
      </c>
      <c r="R76" s="38"/>
      <c r="S76" s="136"/>
      <c r="T76" s="147">
        <f t="shared" si="23"/>
        <v>4</v>
      </c>
    </row>
    <row r="77" spans="2:20" ht="33">
      <c r="B77" s="28" t="s">
        <v>51</v>
      </c>
      <c r="C77" s="65"/>
      <c r="D77" s="183">
        <f>D73+D74+D75+D76</f>
        <v>17671</v>
      </c>
      <c r="E77" s="183">
        <f>E73+E74+E75+E76</f>
        <v>8482.06</v>
      </c>
      <c r="F77" s="184">
        <f>F73+F74+F75+F76</f>
        <v>18801.84</v>
      </c>
      <c r="G77" s="185">
        <f t="shared" si="19"/>
        <v>10319.78</v>
      </c>
      <c r="H77" s="186">
        <f>F77/E77*100</f>
        <v>221.66596322119864</v>
      </c>
      <c r="I77" s="187">
        <f t="shared" si="20"/>
        <v>1130.8400000000001</v>
      </c>
      <c r="J77" s="187">
        <f>F77/D77*100</f>
        <v>106.39941146511234</v>
      </c>
      <c r="K77" s="187">
        <v>5991.37</v>
      </c>
      <c r="L77" s="187">
        <f t="shared" si="21"/>
        <v>12810.470000000001</v>
      </c>
      <c r="M77" s="217">
        <f>F77/K77</f>
        <v>3.1381537110877815</v>
      </c>
      <c r="N77" s="185">
        <f>N73+N74+N75+N76</f>
        <v>1252.9</v>
      </c>
      <c r="O77" s="189">
        <f>O73+O74+O75+O76</f>
        <v>999.5899999999988</v>
      </c>
      <c r="P77" s="187">
        <f t="shared" si="22"/>
        <v>-253.3100000000013</v>
      </c>
      <c r="Q77" s="187">
        <f>O77/N77*100</f>
        <v>79.78210551520462</v>
      </c>
      <c r="R77" s="39"/>
      <c r="S77" s="116"/>
      <c r="T77" s="147">
        <f t="shared" si="23"/>
        <v>9188.94</v>
      </c>
    </row>
    <row r="78" spans="2:20" ht="46.5">
      <c r="B78" s="12" t="s">
        <v>40</v>
      </c>
      <c r="C78" s="75">
        <v>24062100</v>
      </c>
      <c r="D78" s="180">
        <v>1</v>
      </c>
      <c r="E78" s="180">
        <v>0</v>
      </c>
      <c r="F78" s="181">
        <v>5.67</v>
      </c>
      <c r="G78" s="162">
        <f t="shared" si="19"/>
        <v>5.67</v>
      </c>
      <c r="H78" s="164"/>
      <c r="I78" s="167">
        <f t="shared" si="20"/>
        <v>4.67</v>
      </c>
      <c r="J78" s="167"/>
      <c r="K78" s="167">
        <v>0.18</v>
      </c>
      <c r="L78" s="167">
        <f t="shared" si="21"/>
        <v>5.49</v>
      </c>
      <c r="M78" s="211">
        <f>F78/K78</f>
        <v>31.5</v>
      </c>
      <c r="N78" s="164">
        <f>E78-липень!E78</f>
        <v>0</v>
      </c>
      <c r="O78" s="168">
        <f>F78-липень!F78</f>
        <v>0.45999999999999996</v>
      </c>
      <c r="P78" s="167">
        <f t="shared" si="22"/>
        <v>0.45999999999999996</v>
      </c>
      <c r="Q78" s="167"/>
      <c r="R78" s="38"/>
      <c r="S78" s="97"/>
      <c r="T78" s="147">
        <f t="shared" si="23"/>
        <v>1</v>
      </c>
    </row>
    <row r="79" spans="2:20" ht="18" hidden="1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 t="shared" si="19"/>
        <v>0</v>
      </c>
      <c r="H79" s="164"/>
      <c r="I79" s="167">
        <f t="shared" si="20"/>
        <v>0</v>
      </c>
      <c r="J79" s="190"/>
      <c r="K79" s="167">
        <v>0</v>
      </c>
      <c r="L79" s="167">
        <f t="shared" si="21"/>
        <v>0</v>
      </c>
      <c r="M79" s="211" t="e">
        <f>F79/K79</f>
        <v>#DIV/0!</v>
      </c>
      <c r="N79" s="164">
        <f>E79-липень!E79</f>
        <v>0</v>
      </c>
      <c r="O79" s="168">
        <f>F79-липень!F79</f>
        <v>0</v>
      </c>
      <c r="P79" s="167">
        <f t="shared" si="22"/>
        <v>0</v>
      </c>
      <c r="Q79" s="190"/>
      <c r="R79" s="41"/>
      <c r="S79" s="99"/>
      <c r="T79" s="147">
        <f t="shared" si="23"/>
        <v>0</v>
      </c>
    </row>
    <row r="80" spans="2:20" ht="18">
      <c r="B80" s="23" t="s">
        <v>46</v>
      </c>
      <c r="C80" s="73">
        <v>19010000</v>
      </c>
      <c r="D80" s="180">
        <v>9500</v>
      </c>
      <c r="E80" s="180">
        <v>7623.6</v>
      </c>
      <c r="F80" s="181">
        <v>6824.83</v>
      </c>
      <c r="G80" s="162">
        <f t="shared" si="19"/>
        <v>-798.7700000000004</v>
      </c>
      <c r="H80" s="164">
        <f>F80/E80*100</f>
        <v>89.52240411354215</v>
      </c>
      <c r="I80" s="167">
        <f t="shared" si="20"/>
        <v>-2675.17</v>
      </c>
      <c r="J80" s="167">
        <f>F80/D80*100</f>
        <v>71.84031578947369</v>
      </c>
      <c r="K80" s="167">
        <v>0</v>
      </c>
      <c r="L80" s="167">
        <f t="shared" si="21"/>
        <v>6824.83</v>
      </c>
      <c r="M80" s="211"/>
      <c r="N80" s="164">
        <f>E80-липень!E80</f>
        <v>2496.3</v>
      </c>
      <c r="O80" s="168">
        <f>F80-липень!F80</f>
        <v>1922.4899999999998</v>
      </c>
      <c r="P80" s="167">
        <f>O80-N80</f>
        <v>-573.8100000000004</v>
      </c>
      <c r="Q80" s="190">
        <f>O80/N80*100</f>
        <v>77.01358009854583</v>
      </c>
      <c r="R80" s="41"/>
      <c r="S80" s="99"/>
      <c r="T80" s="147">
        <f t="shared" si="23"/>
        <v>1876.3999999999996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1.09</v>
      </c>
      <c r="G81" s="162">
        <f t="shared" si="19"/>
        <v>1.09</v>
      </c>
      <c r="H81" s="164"/>
      <c r="I81" s="167">
        <f t="shared" si="20"/>
        <v>1.09</v>
      </c>
      <c r="J81" s="167"/>
      <c r="K81" s="167">
        <v>0.88</v>
      </c>
      <c r="L81" s="167">
        <f t="shared" si="21"/>
        <v>0.21000000000000008</v>
      </c>
      <c r="M81" s="211">
        <f>F81/K81</f>
        <v>1.2386363636363638</v>
      </c>
      <c r="N81" s="164">
        <f>E81-липень!E81</f>
        <v>0</v>
      </c>
      <c r="O81" s="168">
        <f>F81-липень!F81</f>
        <v>0.17000000000000004</v>
      </c>
      <c r="P81" s="167">
        <f t="shared" si="22"/>
        <v>0.17000000000000004</v>
      </c>
      <c r="Q81" s="167"/>
      <c r="R81" s="38"/>
      <c r="S81" s="97"/>
      <c r="T81" s="147">
        <f t="shared" si="23"/>
        <v>0</v>
      </c>
    </row>
    <row r="82" spans="2:20" ht="30">
      <c r="B82" s="28" t="s">
        <v>47</v>
      </c>
      <c r="C82" s="73"/>
      <c r="D82" s="183">
        <f>D78+D81+D79+D80</f>
        <v>9501</v>
      </c>
      <c r="E82" s="183">
        <f>E78+E81+E79+E80</f>
        <v>7623.6</v>
      </c>
      <c r="F82" s="184">
        <f>F78+F81+F79+F80</f>
        <v>6831.59</v>
      </c>
      <c r="G82" s="183">
        <f>G78+G81+G79+G80</f>
        <v>-792.0100000000004</v>
      </c>
      <c r="H82" s="186">
        <f>F82/E82*100</f>
        <v>89.61107613201112</v>
      </c>
      <c r="I82" s="187">
        <f t="shared" si="20"/>
        <v>-2669.41</v>
      </c>
      <c r="J82" s="187">
        <f>F82/D82*100</f>
        <v>71.90390485212083</v>
      </c>
      <c r="K82" s="187">
        <v>0.83</v>
      </c>
      <c r="L82" s="187">
        <f t="shared" si="21"/>
        <v>6830.76</v>
      </c>
      <c r="M82" s="225">
        <f>F82/K82</f>
        <v>8230.831325301206</v>
      </c>
      <c r="N82" s="185">
        <f>N78+N81+N79+N80</f>
        <v>2496.3</v>
      </c>
      <c r="O82" s="189">
        <f>O78+O81+O79+O80</f>
        <v>1923.12</v>
      </c>
      <c r="P82" s="185">
        <f>P78+P81+P79+P80</f>
        <v>-573.1800000000004</v>
      </c>
      <c r="Q82" s="187">
        <f>O82/N82*100</f>
        <v>77.03881744982574</v>
      </c>
      <c r="R82" s="39"/>
      <c r="S82" s="96"/>
      <c r="T82" s="147">
        <f t="shared" si="23"/>
        <v>1877.3999999999996</v>
      </c>
    </row>
    <row r="83" spans="2:20" ht="30.75">
      <c r="B83" s="12" t="s">
        <v>41</v>
      </c>
      <c r="C83" s="43">
        <v>24110900</v>
      </c>
      <c r="D83" s="180">
        <v>43</v>
      </c>
      <c r="E83" s="180">
        <v>20.8</v>
      </c>
      <c r="F83" s="181">
        <v>19.38</v>
      </c>
      <c r="G83" s="162">
        <f t="shared" si="19"/>
        <v>-1.4200000000000017</v>
      </c>
      <c r="H83" s="164">
        <f>F83/E83*100</f>
        <v>93.17307692307692</v>
      </c>
      <c r="I83" s="167">
        <f t="shared" si="20"/>
        <v>-23.62</v>
      </c>
      <c r="J83" s="167">
        <f>F83/D83*100</f>
        <v>45.06976744186046</v>
      </c>
      <c r="K83" s="167">
        <v>21.06</v>
      </c>
      <c r="L83" s="167">
        <f t="shared" si="21"/>
        <v>-1.6799999999999997</v>
      </c>
      <c r="M83" s="211">
        <f>F83/K83</f>
        <v>0.9202279202279202</v>
      </c>
      <c r="N83" s="164">
        <f>E83-липень!E83</f>
        <v>0.5</v>
      </c>
      <c r="O83" s="168">
        <f>F83-липень!F83</f>
        <v>0.6199999999999974</v>
      </c>
      <c r="P83" s="167">
        <f t="shared" si="22"/>
        <v>0.11999999999999744</v>
      </c>
      <c r="Q83" s="167">
        <f>O83/N83</f>
        <v>1.2399999999999949</v>
      </c>
      <c r="R83" s="38"/>
      <c r="S83" s="97"/>
      <c r="T83" s="147">
        <f t="shared" si="23"/>
        <v>22.2</v>
      </c>
    </row>
    <row r="84" spans="2:20" ht="18" hidden="1">
      <c r="B84" s="122"/>
      <c r="C84" s="43"/>
      <c r="D84" s="180"/>
      <c r="E84" s="180"/>
      <c r="F84" s="181"/>
      <c r="G84" s="162"/>
      <c r="H84" s="164"/>
      <c r="I84" s="167"/>
      <c r="J84" s="167"/>
      <c r="K84" s="167">
        <v>0</v>
      </c>
      <c r="L84" s="167"/>
      <c r="M84" s="167"/>
      <c r="N84" s="164" t="e">
        <f>E84-#REF!</f>
        <v>#REF!</v>
      </c>
      <c r="O84" s="168" t="e">
        <f>F84-#REF!</f>
        <v>#REF!</v>
      </c>
      <c r="P84" s="167" t="e">
        <f t="shared" si="22"/>
        <v>#REF!</v>
      </c>
      <c r="Q84" s="167"/>
      <c r="R84" s="38"/>
      <c r="S84" s="97"/>
      <c r="T84" s="147">
        <f t="shared" si="23"/>
        <v>0</v>
      </c>
    </row>
    <row r="85" spans="2:20" ht="23.25" customHeight="1">
      <c r="B85" s="14" t="s">
        <v>31</v>
      </c>
      <c r="C85" s="66"/>
      <c r="D85" s="191">
        <f>D71+D83+D77+D82</f>
        <v>27215</v>
      </c>
      <c r="E85" s="191">
        <f>E71+E83+E77+E82</f>
        <v>16126.46</v>
      </c>
      <c r="F85" s="191">
        <f>F71+F83+F77+F82+F84</f>
        <v>25648.99</v>
      </c>
      <c r="G85" s="192">
        <f>F85-E85</f>
        <v>9522.530000000002</v>
      </c>
      <c r="H85" s="193">
        <f>F85/E85*100</f>
        <v>159.04910315097055</v>
      </c>
      <c r="I85" s="194">
        <f>F85-D85</f>
        <v>-1566.0099999999984</v>
      </c>
      <c r="J85" s="194">
        <f>F85/D85*100</f>
        <v>94.24578357523426</v>
      </c>
      <c r="K85" s="194">
        <v>6163.42</v>
      </c>
      <c r="L85" s="194">
        <f>F85-K85</f>
        <v>19485.57</v>
      </c>
      <c r="M85" s="226">
        <f>F85/K85</f>
        <v>4.161486642156465</v>
      </c>
      <c r="N85" s="191">
        <f>N71+N83+N77+N82</f>
        <v>3749.7000000000003</v>
      </c>
      <c r="O85" s="191" t="e">
        <f>O71+O83+O77+O82+O84</f>
        <v>#REF!</v>
      </c>
      <c r="P85" s="194" t="e">
        <f t="shared" si="22"/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 t="shared" si="23"/>
        <v>11088.54</v>
      </c>
    </row>
    <row r="86" spans="2:20" ht="17.25">
      <c r="B86" s="21" t="s">
        <v>32</v>
      </c>
      <c r="C86" s="66"/>
      <c r="D86" s="191">
        <f>D64+D85</f>
        <v>1018152.7300000001</v>
      </c>
      <c r="E86" s="191">
        <f>E64+E85</f>
        <v>688562.47</v>
      </c>
      <c r="F86" s="191">
        <f>F64+F85</f>
        <v>702172.62</v>
      </c>
      <c r="G86" s="192">
        <f>F86-E86</f>
        <v>13610.150000000023</v>
      </c>
      <c r="H86" s="193">
        <f>F86/E86*100</f>
        <v>101.97660351717978</v>
      </c>
      <c r="I86" s="194">
        <f>F86-D86</f>
        <v>-315980.1100000001</v>
      </c>
      <c r="J86" s="194">
        <f>F86/D86*100</f>
        <v>68.96535257534495</v>
      </c>
      <c r="K86" s="194">
        <f>K64+K85</f>
        <v>457297.61</v>
      </c>
      <c r="L86" s="194">
        <f>F86-K86</f>
        <v>244875.01</v>
      </c>
      <c r="M86" s="226">
        <f>F86/K86</f>
        <v>1.5354828117295432</v>
      </c>
      <c r="N86" s="192">
        <f>N64+N85</f>
        <v>152224.89999999997</v>
      </c>
      <c r="O86" s="192" t="e">
        <f>O64+O85</f>
        <v>#REF!</v>
      </c>
      <c r="P86" s="194" t="e">
        <f t="shared" si="22"/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 t="shared" si="23"/>
        <v>329590.2600000001</v>
      </c>
    </row>
    <row r="87" spans="2:20" ht="15">
      <c r="B87" s="20" t="s">
        <v>34</v>
      </c>
      <c r="O87" s="25"/>
      <c r="T87" s="147">
        <f t="shared" si="23"/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 t="shared" si="23"/>
        <v>#VALUE!</v>
      </c>
    </row>
    <row r="89" spans="2:20" ht="30.75">
      <c r="B89" s="52" t="s">
        <v>53</v>
      </c>
      <c r="C89" s="29" t="e">
        <f>IF(P64&lt;0,ABS(P64/C88),0)</f>
        <v>#DIV/0!</v>
      </c>
      <c r="D89" s="4" t="s">
        <v>24</v>
      </c>
      <c r="G89" s="268"/>
      <c r="H89" s="268"/>
      <c r="I89" s="268"/>
      <c r="J89" s="268"/>
      <c r="K89" s="84"/>
      <c r="L89" s="84"/>
      <c r="M89" s="84"/>
      <c r="Q89" s="25"/>
      <c r="R89" s="25"/>
      <c r="T89" s="147" t="e">
        <f t="shared" si="23"/>
        <v>#VALUE!</v>
      </c>
    </row>
    <row r="90" spans="2:20" ht="34.5" customHeight="1">
      <c r="B90" s="53" t="s">
        <v>55</v>
      </c>
      <c r="C90" s="81">
        <v>42613</v>
      </c>
      <c r="D90" s="29">
        <v>3902.6</v>
      </c>
      <c r="G90" s="4" t="s">
        <v>58</v>
      </c>
      <c r="O90" s="269"/>
      <c r="P90" s="269"/>
      <c r="T90" s="147">
        <f t="shared" si="23"/>
        <v>3902.6</v>
      </c>
    </row>
    <row r="91" spans="3:16" ht="15">
      <c r="C91" s="81">
        <v>42612</v>
      </c>
      <c r="D91" s="29">
        <v>10466.3</v>
      </c>
      <c r="F91" s="113" t="s">
        <v>58</v>
      </c>
      <c r="G91" s="270"/>
      <c r="H91" s="270"/>
      <c r="I91" s="118"/>
      <c r="J91" s="271"/>
      <c r="K91" s="271"/>
      <c r="L91" s="271"/>
      <c r="M91" s="271"/>
      <c r="N91" s="271"/>
      <c r="O91" s="269"/>
      <c r="P91" s="269"/>
    </row>
    <row r="92" spans="3:16" ht="15.75" customHeight="1">
      <c r="C92" s="81">
        <v>42611</v>
      </c>
      <c r="D92" s="29">
        <v>8603.9</v>
      </c>
      <c r="F92" s="68"/>
      <c r="G92" s="270"/>
      <c r="H92" s="270"/>
      <c r="I92" s="118"/>
      <c r="J92" s="272"/>
      <c r="K92" s="272"/>
      <c r="L92" s="272"/>
      <c r="M92" s="272"/>
      <c r="N92" s="272"/>
      <c r="O92" s="269"/>
      <c r="P92" s="269"/>
    </row>
    <row r="93" spans="3:14" ht="15.75" customHeight="1">
      <c r="C93" s="81"/>
      <c r="F93" s="68"/>
      <c r="G93" s="276"/>
      <c r="H93" s="276"/>
      <c r="I93" s="124"/>
      <c r="J93" s="271"/>
      <c r="K93" s="271"/>
      <c r="L93" s="271"/>
      <c r="M93" s="271"/>
      <c r="N93" s="271"/>
    </row>
    <row r="94" spans="2:14" ht="18" customHeight="1">
      <c r="B94" s="277" t="s">
        <v>56</v>
      </c>
      <c r="C94" s="278"/>
      <c r="D94" s="133">
        <f>'[1]залишки  (2)'!$G$6/1000</f>
        <v>0.00256</v>
      </c>
      <c r="E94" s="69"/>
      <c r="F94" s="125" t="s">
        <v>110</v>
      </c>
      <c r="G94" s="270"/>
      <c r="H94" s="270"/>
      <c r="I94" s="126"/>
      <c r="J94" s="271"/>
      <c r="K94" s="271"/>
      <c r="L94" s="271"/>
      <c r="M94" s="271"/>
      <c r="N94" s="271"/>
    </row>
    <row r="95" spans="6:13" ht="9.75" customHeight="1">
      <c r="F95" s="68"/>
      <c r="G95" s="270"/>
      <c r="H95" s="270"/>
      <c r="I95" s="68"/>
      <c r="J95" s="69"/>
      <c r="K95" s="69"/>
      <c r="L95" s="69"/>
      <c r="M95" s="69"/>
    </row>
    <row r="96" spans="2:13" ht="22.5" customHeight="1" hidden="1">
      <c r="B96" s="273" t="s">
        <v>59</v>
      </c>
      <c r="C96" s="274"/>
      <c r="D96" s="80">
        <v>0</v>
      </c>
      <c r="E96" s="51" t="s">
        <v>24</v>
      </c>
      <c r="F96" s="68"/>
      <c r="G96" s="270"/>
      <c r="H96" s="270"/>
      <c r="I96" s="68"/>
      <c r="J96" s="69"/>
      <c r="K96" s="69"/>
      <c r="L96" s="69"/>
      <c r="M96" s="69"/>
    </row>
    <row r="97" spans="4:16" ht="15">
      <c r="D97" s="68">
        <f>D45+D48+D49</f>
        <v>1000</v>
      </c>
      <c r="E97" s="68">
        <f>E45+E48+E49</f>
        <v>934</v>
      </c>
      <c r="F97" s="205">
        <f>F45+F48+F49</f>
        <v>511.81</v>
      </c>
      <c r="G97" s="68">
        <f>G45+G48+G49</f>
        <v>-422.19</v>
      </c>
      <c r="H97" s="69"/>
      <c r="I97" s="69"/>
      <c r="N97" s="29">
        <f>N45+N48+N49</f>
        <v>212</v>
      </c>
      <c r="O97" s="204">
        <f>O45+O48+O49</f>
        <v>137.51000000000002</v>
      </c>
      <c r="P97" s="29">
        <f>P45+P48+P49</f>
        <v>-74.49</v>
      </c>
    </row>
    <row r="98" spans="4:16" ht="15">
      <c r="D98" s="78"/>
      <c r="I98" s="29"/>
      <c r="O98" s="275"/>
      <c r="P98" s="275"/>
    </row>
    <row r="99" spans="15:16" ht="15">
      <c r="O99" s="270"/>
      <c r="P99" s="270"/>
    </row>
    <row r="100" ht="15">
      <c r="O100" s="29"/>
    </row>
    <row r="103" ht="15">
      <c r="E103" s="4" t="s">
        <v>58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.15748031496062992" right="0.15748031496062992" top="0" bottom="0" header="0" footer="0"/>
  <pageSetup fitToHeight="1" fitToWidth="1" horizontalDpi="600" verticalDpi="600" orientation="portrait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2" zoomScaleNormal="82" zoomScalePageLayoutView="0" workbookViewId="0" topLeftCell="B1">
      <pane xSplit="2" ySplit="8" topLeftCell="D5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61" sqref="N6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7" customWidth="1"/>
    <col min="4" max="4" width="14.50390625" style="4" customWidth="1"/>
    <col min="5" max="5" width="14.00390625" style="4" customWidth="1"/>
    <col min="6" max="6" width="13.125" style="113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9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242" t="s">
        <v>126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86"/>
      <c r="S1" s="87"/>
    </row>
    <row r="2" spans="2:19" s="1" customFormat="1" ht="15.75" customHeight="1">
      <c r="B2" s="243"/>
      <c r="C2" s="243"/>
      <c r="D2" s="243"/>
      <c r="E2" s="2"/>
      <c r="F2" s="112"/>
      <c r="G2" s="2"/>
      <c r="H2" s="2"/>
      <c r="N2" s="1" t="s">
        <v>116</v>
      </c>
      <c r="Q2" s="17" t="s">
        <v>24</v>
      </c>
      <c r="R2" s="17"/>
      <c r="S2" s="88"/>
    </row>
    <row r="3" spans="1:19" s="3" customFormat="1" ht="13.5" customHeight="1">
      <c r="A3" s="244"/>
      <c r="B3" s="246"/>
      <c r="C3" s="247" t="s">
        <v>0</v>
      </c>
      <c r="D3" s="248" t="s">
        <v>105</v>
      </c>
      <c r="E3" s="32"/>
      <c r="F3" s="249" t="s">
        <v>26</v>
      </c>
      <c r="G3" s="250"/>
      <c r="H3" s="250"/>
      <c r="I3" s="250"/>
      <c r="J3" s="251"/>
      <c r="K3" s="83"/>
      <c r="L3" s="83"/>
      <c r="M3" s="83"/>
      <c r="N3" s="252" t="s">
        <v>121</v>
      </c>
      <c r="O3" s="255" t="s">
        <v>122</v>
      </c>
      <c r="P3" s="255"/>
      <c r="Q3" s="255"/>
      <c r="R3" s="255"/>
      <c r="S3" s="255"/>
    </row>
    <row r="4" spans="1:19" ht="22.5" customHeight="1">
      <c r="A4" s="244"/>
      <c r="B4" s="246"/>
      <c r="C4" s="247"/>
      <c r="D4" s="248"/>
      <c r="E4" s="256" t="s">
        <v>117</v>
      </c>
      <c r="F4" s="258" t="s">
        <v>33</v>
      </c>
      <c r="G4" s="260" t="s">
        <v>118</v>
      </c>
      <c r="H4" s="253" t="s">
        <v>119</v>
      </c>
      <c r="I4" s="260" t="s">
        <v>106</v>
      </c>
      <c r="J4" s="253" t="s">
        <v>107</v>
      </c>
      <c r="K4" s="85" t="s">
        <v>124</v>
      </c>
      <c r="L4" s="206" t="s">
        <v>123</v>
      </c>
      <c r="M4" s="90" t="s">
        <v>63</v>
      </c>
      <c r="N4" s="253"/>
      <c r="O4" s="262" t="s">
        <v>127</v>
      </c>
      <c r="P4" s="260" t="s">
        <v>49</v>
      </c>
      <c r="Q4" s="264" t="s">
        <v>48</v>
      </c>
      <c r="R4" s="91" t="s">
        <v>64</v>
      </c>
      <c r="S4" s="92" t="s">
        <v>63</v>
      </c>
    </row>
    <row r="5" spans="1:19" ht="67.5" customHeight="1">
      <c r="A5" s="245"/>
      <c r="B5" s="246"/>
      <c r="C5" s="247"/>
      <c r="D5" s="248"/>
      <c r="E5" s="257"/>
      <c r="F5" s="259"/>
      <c r="G5" s="261"/>
      <c r="H5" s="254"/>
      <c r="I5" s="261"/>
      <c r="J5" s="254"/>
      <c r="K5" s="265" t="s">
        <v>120</v>
      </c>
      <c r="L5" s="266"/>
      <c r="M5" s="267"/>
      <c r="N5" s="254"/>
      <c r="O5" s="263"/>
      <c r="P5" s="261"/>
      <c r="Q5" s="264"/>
      <c r="R5" s="265" t="s">
        <v>104</v>
      </c>
      <c r="S5" s="267"/>
    </row>
    <row r="6" spans="1:19" ht="15.75" customHeight="1">
      <c r="A6" s="5" t="s">
        <v>1</v>
      </c>
      <c r="B6" s="10" t="s">
        <v>2</v>
      </c>
      <c r="C6" s="60" t="s">
        <v>3</v>
      </c>
      <c r="D6" s="10" t="s">
        <v>4</v>
      </c>
      <c r="E6" s="10" t="s">
        <v>5</v>
      </c>
      <c r="F6" s="138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3" t="s">
        <v>68</v>
      </c>
      <c r="P6" s="10" t="s">
        <v>69</v>
      </c>
      <c r="Q6" s="10" t="s">
        <v>70</v>
      </c>
      <c r="R6" s="10" t="s">
        <v>71</v>
      </c>
      <c r="S6" s="110">
        <v>17</v>
      </c>
    </row>
    <row r="7" spans="1:19" ht="15.75" customHeight="1">
      <c r="A7" s="18"/>
      <c r="B7" s="19" t="s">
        <v>27</v>
      </c>
      <c r="C7" s="60"/>
      <c r="D7" s="10"/>
      <c r="E7" s="10"/>
      <c r="F7" s="138"/>
      <c r="G7" s="10"/>
      <c r="H7" s="10"/>
      <c r="I7" s="10"/>
      <c r="J7" s="10"/>
      <c r="K7" s="10"/>
      <c r="L7" s="10"/>
      <c r="M7" s="10"/>
      <c r="N7" s="10"/>
      <c r="O7" s="143"/>
      <c r="P7" s="10"/>
      <c r="Q7" s="10"/>
      <c r="R7" s="10"/>
      <c r="S7" s="93"/>
    </row>
    <row r="8" spans="1:19" s="6" customFormat="1" ht="17.25">
      <c r="A8" s="7"/>
      <c r="B8" s="154" t="s">
        <v>9</v>
      </c>
      <c r="C8" s="70" t="s">
        <v>10</v>
      </c>
      <c r="D8" s="151">
        <f>D9+D15+D18+D19+D20+D37+D17</f>
        <v>841050</v>
      </c>
      <c r="E8" s="151">
        <f>E9+E15+E18+E19+E20+E37+E17</f>
        <v>498951.28</v>
      </c>
      <c r="F8" s="151">
        <f>F9+F15+F18+F19+F20+F37+F17</f>
        <v>543806.9600000001</v>
      </c>
      <c r="G8" s="151">
        <f aca="true" t="shared" si="0" ref="G8:G37">F8-E8</f>
        <v>44855.68000000005</v>
      </c>
      <c r="H8" s="152">
        <f>F8/E8*100</f>
        <v>108.98999196875496</v>
      </c>
      <c r="I8" s="153">
        <f>F8-D8</f>
        <v>-297243.0399999999</v>
      </c>
      <c r="J8" s="153">
        <f>F8/D8*100</f>
        <v>64.65810118304502</v>
      </c>
      <c r="K8" s="151">
        <f>366772.22</f>
        <v>366772.22</v>
      </c>
      <c r="L8" s="151">
        <f aca="true" t="shared" si="1" ref="L8:L15">F8-K8</f>
        <v>177034.7400000001</v>
      </c>
      <c r="M8" s="207">
        <f aca="true" t="shared" si="2" ref="M8:M15">F8/K8</f>
        <v>1.4826830668909443</v>
      </c>
      <c r="N8" s="151" t="e">
        <f>N9+N15+N18+N19+N20+N17</f>
        <v>#REF!</v>
      </c>
      <c r="O8" s="151" t="e">
        <f>O9+O15+O18+O19+O20+O17</f>
        <v>#REF!</v>
      </c>
      <c r="P8" s="151" t="e">
        <f>O8-N8</f>
        <v>#REF!</v>
      </c>
      <c r="Q8" s="151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80</v>
      </c>
      <c r="C9" s="43">
        <v>11010000</v>
      </c>
      <c r="D9" s="150">
        <v>459700</v>
      </c>
      <c r="E9" s="150">
        <f>263724.27-465</f>
        <v>263259.27</v>
      </c>
      <c r="F9" s="156">
        <v>295409.71</v>
      </c>
      <c r="G9" s="150">
        <f t="shared" si="0"/>
        <v>32150.440000000002</v>
      </c>
      <c r="H9" s="157">
        <f>F9/E9*100</f>
        <v>112.21246264186632</v>
      </c>
      <c r="I9" s="158">
        <f>F9-D9</f>
        <v>-164290.28999999998</v>
      </c>
      <c r="J9" s="158">
        <f>F9/D9*100</f>
        <v>64.26141179029803</v>
      </c>
      <c r="K9" s="159">
        <v>203434.44</v>
      </c>
      <c r="L9" s="159">
        <f t="shared" si="1"/>
        <v>91975.27000000002</v>
      </c>
      <c r="M9" s="208">
        <f t="shared" si="2"/>
        <v>1.4521125823139878</v>
      </c>
      <c r="N9" s="157" t="e">
        <f>E9-#REF!</f>
        <v>#REF!</v>
      </c>
      <c r="O9" s="160" t="e">
        <f>F9-#REF!</f>
        <v>#REF!</v>
      </c>
      <c r="P9" s="161" t="e">
        <f>O9-N9</f>
        <v>#REF!</v>
      </c>
      <c r="Q9" s="158" t="e">
        <f>O9/N9*100</f>
        <v>#REF!</v>
      </c>
      <c r="R9" s="100"/>
      <c r="S9" s="101"/>
      <c r="T9" s="147">
        <f>D9-E9</f>
        <v>196440.72999999998</v>
      </c>
    </row>
    <row r="10" spans="1:20" s="6" customFormat="1" ht="18" hidden="1">
      <c r="A10" s="8"/>
      <c r="B10" s="121" t="s">
        <v>91</v>
      </c>
      <c r="C10" s="102">
        <v>11010100</v>
      </c>
      <c r="D10" s="103">
        <v>411440</v>
      </c>
      <c r="E10" s="103">
        <v>234015.84</v>
      </c>
      <c r="F10" s="140">
        <v>259105.9</v>
      </c>
      <c r="G10" s="103">
        <f t="shared" si="0"/>
        <v>25090.059999999998</v>
      </c>
      <c r="H10" s="30">
        <f aca="true" t="shared" si="3" ref="H10:H36">F10/E10*100</f>
        <v>110.72152209867502</v>
      </c>
      <c r="I10" s="104">
        <f aca="true" t="shared" si="4" ref="I10:I37">F10-D10</f>
        <v>-152334.1</v>
      </c>
      <c r="J10" s="104">
        <f aca="true" t="shared" si="5" ref="J10:J36">F10/D10*100</f>
        <v>62.97537915613455</v>
      </c>
      <c r="K10" s="106">
        <v>180069.97</v>
      </c>
      <c r="L10" s="106">
        <f t="shared" si="1"/>
        <v>79035.93</v>
      </c>
      <c r="M10" s="209">
        <f t="shared" si="2"/>
        <v>1.4389178828651996</v>
      </c>
      <c r="N10" s="105" t="e">
        <f>E10-#REF!</f>
        <v>#REF!</v>
      </c>
      <c r="O10" s="144" t="e">
        <f>F10-#REF!</f>
        <v>#REF!</v>
      </c>
      <c r="P10" s="106" t="e">
        <f aca="true" t="shared" si="6" ref="P10:P37">O10-N10</f>
        <v>#REF!</v>
      </c>
      <c r="Q10" s="158" t="e">
        <f aca="true" t="shared" si="7" ref="Q10:Q16">O10/N10*100</f>
        <v>#REF!</v>
      </c>
      <c r="R10" s="37"/>
      <c r="S10" s="94"/>
      <c r="T10" s="147">
        <f aca="true" t="shared" si="8" ref="T10:T73">D10-E10</f>
        <v>177424.16</v>
      </c>
    </row>
    <row r="11" spans="1:20" s="6" customFormat="1" ht="18" hidden="1">
      <c r="A11" s="8"/>
      <c r="B11" s="121" t="s">
        <v>87</v>
      </c>
      <c r="C11" s="102">
        <v>11010200</v>
      </c>
      <c r="D11" s="103">
        <v>23000</v>
      </c>
      <c r="E11" s="103">
        <v>15914.94</v>
      </c>
      <c r="F11" s="140">
        <v>21586.03</v>
      </c>
      <c r="G11" s="103">
        <f t="shared" si="0"/>
        <v>5671.089999999998</v>
      </c>
      <c r="H11" s="30">
        <f t="shared" si="3"/>
        <v>135.63375042570064</v>
      </c>
      <c r="I11" s="104">
        <f t="shared" si="4"/>
        <v>-1413.9700000000012</v>
      </c>
      <c r="J11" s="104">
        <f t="shared" si="5"/>
        <v>93.85230434782608</v>
      </c>
      <c r="K11" s="106">
        <v>10791.39</v>
      </c>
      <c r="L11" s="106">
        <f t="shared" si="1"/>
        <v>10794.64</v>
      </c>
      <c r="M11" s="209">
        <f t="shared" si="2"/>
        <v>2.0003011660221715</v>
      </c>
      <c r="N11" s="105" t="e">
        <f>E11-#REF!</f>
        <v>#REF!</v>
      </c>
      <c r="O11" s="144" t="e">
        <f>F11-#REF!</f>
        <v>#REF!</v>
      </c>
      <c r="P11" s="106" t="e">
        <f t="shared" si="6"/>
        <v>#REF!</v>
      </c>
      <c r="Q11" s="158" t="e">
        <f t="shared" si="7"/>
        <v>#REF!</v>
      </c>
      <c r="R11" s="37"/>
      <c r="S11" s="94"/>
      <c r="T11" s="147">
        <f t="shared" si="8"/>
        <v>7085.0599999999995</v>
      </c>
    </row>
    <row r="12" spans="1:20" s="6" customFormat="1" ht="18" hidden="1">
      <c r="A12" s="8"/>
      <c r="B12" s="121" t="s">
        <v>90</v>
      </c>
      <c r="C12" s="102">
        <v>11010400</v>
      </c>
      <c r="D12" s="103">
        <v>6500</v>
      </c>
      <c r="E12" s="103">
        <v>3270.61</v>
      </c>
      <c r="F12" s="140">
        <v>5837.44</v>
      </c>
      <c r="G12" s="103">
        <f t="shared" si="0"/>
        <v>2566.8299999999995</v>
      </c>
      <c r="H12" s="30">
        <f t="shared" si="3"/>
        <v>178.48168995997688</v>
      </c>
      <c r="I12" s="104">
        <f t="shared" si="4"/>
        <v>-662.5600000000004</v>
      </c>
      <c r="J12" s="104">
        <f t="shared" si="5"/>
        <v>89.80676923076922</v>
      </c>
      <c r="K12" s="106">
        <v>3052.92</v>
      </c>
      <c r="L12" s="106">
        <f t="shared" si="1"/>
        <v>2784.5199999999995</v>
      </c>
      <c r="M12" s="209">
        <f t="shared" si="2"/>
        <v>1.9120841685992425</v>
      </c>
      <c r="N12" s="105" t="e">
        <f>E12-#REF!</f>
        <v>#REF!</v>
      </c>
      <c r="O12" s="144" t="e">
        <f>F12-#REF!</f>
        <v>#REF!</v>
      </c>
      <c r="P12" s="106" t="e">
        <f t="shared" si="6"/>
        <v>#REF!</v>
      </c>
      <c r="Q12" s="158" t="e">
        <f t="shared" si="7"/>
        <v>#REF!</v>
      </c>
      <c r="R12" s="37"/>
      <c r="S12" s="94"/>
      <c r="T12" s="147">
        <f t="shared" si="8"/>
        <v>3229.39</v>
      </c>
    </row>
    <row r="13" spans="1:20" s="6" customFormat="1" ht="18" hidden="1">
      <c r="A13" s="8"/>
      <c r="B13" s="121" t="s">
        <v>88</v>
      </c>
      <c r="C13" s="102">
        <v>11010500</v>
      </c>
      <c r="D13" s="103">
        <v>12400</v>
      </c>
      <c r="E13" s="103">
        <v>6764.84</v>
      </c>
      <c r="F13" s="140">
        <v>6429.46</v>
      </c>
      <c r="G13" s="103">
        <f t="shared" si="0"/>
        <v>-335.3800000000001</v>
      </c>
      <c r="H13" s="30">
        <f t="shared" si="3"/>
        <v>95.04230698730495</v>
      </c>
      <c r="I13" s="104">
        <f t="shared" si="4"/>
        <v>-5970.54</v>
      </c>
      <c r="J13" s="104">
        <f t="shared" si="5"/>
        <v>51.85048387096774</v>
      </c>
      <c r="K13" s="106">
        <v>4060.02</v>
      </c>
      <c r="L13" s="106">
        <f t="shared" si="1"/>
        <v>2369.44</v>
      </c>
      <c r="M13" s="209">
        <f t="shared" si="2"/>
        <v>1.583603036438244</v>
      </c>
      <c r="N13" s="105" t="e">
        <f>E13-#REF!</f>
        <v>#REF!</v>
      </c>
      <c r="O13" s="144" t="e">
        <f>F13-#REF!</f>
        <v>#REF!</v>
      </c>
      <c r="P13" s="106" t="e">
        <f t="shared" si="6"/>
        <v>#REF!</v>
      </c>
      <c r="Q13" s="158" t="e">
        <f t="shared" si="7"/>
        <v>#REF!</v>
      </c>
      <c r="R13" s="37"/>
      <c r="S13" s="94"/>
      <c r="T13" s="147">
        <f t="shared" si="8"/>
        <v>5635.16</v>
      </c>
    </row>
    <row r="14" spans="1:22" s="6" customFormat="1" ht="18" hidden="1">
      <c r="A14" s="8"/>
      <c r="B14" s="121" t="s">
        <v>89</v>
      </c>
      <c r="C14" s="102">
        <v>11010900</v>
      </c>
      <c r="D14" s="103">
        <v>6360</v>
      </c>
      <c r="E14" s="103">
        <f>3758.04-465</f>
        <v>3293.04</v>
      </c>
      <c r="F14" s="140">
        <v>2450.88</v>
      </c>
      <c r="G14" s="103">
        <f t="shared" si="0"/>
        <v>-842.1599999999999</v>
      </c>
      <c r="H14" s="30">
        <f t="shared" si="3"/>
        <v>74.42606224036149</v>
      </c>
      <c r="I14" s="104">
        <f t="shared" si="4"/>
        <v>-3909.12</v>
      </c>
      <c r="J14" s="104">
        <f t="shared" si="5"/>
        <v>38.53584905660378</v>
      </c>
      <c r="K14" s="106">
        <v>5460.12</v>
      </c>
      <c r="L14" s="106">
        <f t="shared" si="1"/>
        <v>-3009.24</v>
      </c>
      <c r="M14" s="209">
        <f t="shared" si="2"/>
        <v>0.44886925562075564</v>
      </c>
      <c r="N14" s="105" t="e">
        <f>E14-#REF!</f>
        <v>#REF!</v>
      </c>
      <c r="O14" s="144" t="e">
        <f>F14-#REF!</f>
        <v>#REF!</v>
      </c>
      <c r="P14" s="106" t="e">
        <f t="shared" si="6"/>
        <v>#REF!</v>
      </c>
      <c r="Q14" s="158" t="e">
        <f t="shared" si="7"/>
        <v>#REF!</v>
      </c>
      <c r="R14" s="37"/>
      <c r="S14" s="94"/>
      <c r="T14" s="147">
        <f t="shared" si="8"/>
        <v>3066.96</v>
      </c>
      <c r="U14" s="229">
        <v>2880</v>
      </c>
      <c r="V14" s="147">
        <f>U14-T14</f>
        <v>-186.96000000000004</v>
      </c>
    </row>
    <row r="15" spans="1:20" s="6" customFormat="1" ht="30.75">
      <c r="A15" s="8"/>
      <c r="B15" s="12" t="s">
        <v>11</v>
      </c>
      <c r="C15" s="43">
        <v>11020200</v>
      </c>
      <c r="D15" s="150">
        <v>500</v>
      </c>
      <c r="E15" s="150">
        <v>250</v>
      </c>
      <c r="F15" s="156">
        <v>309.24</v>
      </c>
      <c r="G15" s="150">
        <f t="shared" si="0"/>
        <v>59.24000000000001</v>
      </c>
      <c r="H15" s="157">
        <f>F15/E15*100</f>
        <v>123.69600000000001</v>
      </c>
      <c r="I15" s="158">
        <f t="shared" si="4"/>
        <v>-190.76</v>
      </c>
      <c r="J15" s="158">
        <f t="shared" si="5"/>
        <v>61.848000000000006</v>
      </c>
      <c r="K15" s="161">
        <v>-788.76</v>
      </c>
      <c r="L15" s="161">
        <f t="shared" si="1"/>
        <v>1098</v>
      </c>
      <c r="M15" s="210">
        <f t="shared" si="2"/>
        <v>-0.39205842081241443</v>
      </c>
      <c r="N15" s="157" t="e">
        <f>E15-#REF!</f>
        <v>#REF!</v>
      </c>
      <c r="O15" s="160" t="e">
        <f>F15-#REF!</f>
        <v>#REF!</v>
      </c>
      <c r="P15" s="161" t="e">
        <f t="shared" si="6"/>
        <v>#REF!</v>
      </c>
      <c r="Q15" s="158" t="e">
        <f t="shared" si="7"/>
        <v>#REF!</v>
      </c>
      <c r="R15" s="37"/>
      <c r="S15" s="94"/>
      <c r="T15" s="147">
        <f t="shared" si="8"/>
        <v>250</v>
      </c>
    </row>
    <row r="16" spans="1:20" s="6" customFormat="1" ht="18" hidden="1">
      <c r="A16" s="8"/>
      <c r="B16" s="50" t="s">
        <v>65</v>
      </c>
      <c r="C16" s="102">
        <v>11010232</v>
      </c>
      <c r="D16" s="103">
        <v>0</v>
      </c>
      <c r="E16" s="103">
        <v>0</v>
      </c>
      <c r="F16" s="140">
        <v>0</v>
      </c>
      <c r="G16" s="34">
        <f t="shared" si="0"/>
        <v>0</v>
      </c>
      <c r="H16" s="30" t="e">
        <f t="shared" si="3"/>
        <v>#DIV/0!</v>
      </c>
      <c r="I16" s="37">
        <f t="shared" si="4"/>
        <v>0</v>
      </c>
      <c r="J16" s="37" t="e">
        <f t="shared" si="5"/>
        <v>#DIV/0!</v>
      </c>
      <c r="K16" s="106">
        <f>F16-(-381.9)</f>
        <v>381.9</v>
      </c>
      <c r="L16" s="161">
        <f aca="true" t="shared" si="9" ref="L16:L22">F16-K16</f>
        <v>-381.9</v>
      </c>
      <c r="M16" s="210">
        <f aca="true" t="shared" si="10" ref="M16:M22">F16/K16</f>
        <v>0</v>
      </c>
      <c r="N16" s="157" t="e">
        <f>E16-#REF!</f>
        <v>#REF!</v>
      </c>
      <c r="O16" s="160" t="e">
        <f>F16-#REF!</f>
        <v>#REF!</v>
      </c>
      <c r="P16" s="36" t="e">
        <f t="shared" si="6"/>
        <v>#REF!</v>
      </c>
      <c r="Q16" s="158" t="e">
        <f t="shared" si="7"/>
        <v>#REF!</v>
      </c>
      <c r="R16" s="104" t="e">
        <f>O16-358.81</f>
        <v>#REF!</v>
      </c>
      <c r="S16" s="109" t="e">
        <f>O16/358.79</f>
        <v>#REF!</v>
      </c>
      <c r="T16" s="147">
        <f t="shared" si="8"/>
        <v>0</v>
      </c>
    </row>
    <row r="17" spans="1:20" s="6" customFormat="1" ht="30.75">
      <c r="A17" s="8"/>
      <c r="B17" s="44" t="s">
        <v>86</v>
      </c>
      <c r="C17" s="120">
        <v>13010200</v>
      </c>
      <c r="D17" s="162">
        <v>0</v>
      </c>
      <c r="E17" s="162">
        <v>0</v>
      </c>
      <c r="F17" s="163">
        <v>0.17</v>
      </c>
      <c r="G17" s="162">
        <f t="shared" si="0"/>
        <v>0.17</v>
      </c>
      <c r="H17" s="164"/>
      <c r="I17" s="165">
        <f t="shared" si="4"/>
        <v>0.17</v>
      </c>
      <c r="J17" s="165"/>
      <c r="K17" s="167">
        <v>0.09</v>
      </c>
      <c r="L17" s="161">
        <f t="shared" si="9"/>
        <v>0.08000000000000002</v>
      </c>
      <c r="M17" s="210">
        <f t="shared" si="10"/>
        <v>1.888888888888889</v>
      </c>
      <c r="N17" s="157" t="e">
        <f>E17-#REF!</f>
        <v>#REF!</v>
      </c>
      <c r="O17" s="160" t="e">
        <f>F17-#REF!</f>
        <v>#REF!</v>
      </c>
      <c r="P17" s="167" t="e">
        <f t="shared" si="6"/>
        <v>#REF!</v>
      </c>
      <c r="Q17" s="158"/>
      <c r="R17" s="104"/>
      <c r="S17" s="109"/>
      <c r="T17" s="147">
        <f t="shared" si="8"/>
        <v>0</v>
      </c>
    </row>
    <row r="18" spans="1:20" s="6" customFormat="1" ht="30.75">
      <c r="A18" s="8"/>
      <c r="B18" s="13" t="s">
        <v>73</v>
      </c>
      <c r="C18" s="43">
        <v>13030200</v>
      </c>
      <c r="D18" s="150">
        <v>10</v>
      </c>
      <c r="E18" s="150">
        <v>10</v>
      </c>
      <c r="F18" s="156">
        <v>105.8</v>
      </c>
      <c r="G18" s="150">
        <f t="shared" si="0"/>
        <v>95.8</v>
      </c>
      <c r="H18" s="157">
        <f t="shared" si="3"/>
        <v>1058</v>
      </c>
      <c r="I18" s="158">
        <f t="shared" si="4"/>
        <v>95.8</v>
      </c>
      <c r="J18" s="158">
        <f t="shared" si="5"/>
        <v>1058</v>
      </c>
      <c r="K18" s="161">
        <v>15.8</v>
      </c>
      <c r="L18" s="161">
        <f t="shared" si="9"/>
        <v>90</v>
      </c>
      <c r="M18" s="210">
        <f t="shared" si="10"/>
        <v>6.696202531645569</v>
      </c>
      <c r="N18" s="157" t="e">
        <f>E18-#REF!</f>
        <v>#REF!</v>
      </c>
      <c r="O18" s="160" t="e">
        <f>F18-#REF!</f>
        <v>#REF!</v>
      </c>
      <c r="P18" s="161" t="e">
        <f t="shared" si="6"/>
        <v>#REF!</v>
      </c>
      <c r="Q18" s="158"/>
      <c r="R18" s="37"/>
      <c r="S18" s="94"/>
      <c r="T18" s="147">
        <f t="shared" si="8"/>
        <v>0</v>
      </c>
    </row>
    <row r="19" spans="1:21" s="6" customFormat="1" ht="46.5">
      <c r="A19" s="8"/>
      <c r="B19" s="44" t="s">
        <v>72</v>
      </c>
      <c r="C19" s="43">
        <v>14040000</v>
      </c>
      <c r="D19" s="150">
        <v>109900</v>
      </c>
      <c r="E19" s="150">
        <v>58760.4</v>
      </c>
      <c r="F19" s="156">
        <v>54291.2</v>
      </c>
      <c r="G19" s="150">
        <f t="shared" si="0"/>
        <v>-4469.200000000004</v>
      </c>
      <c r="H19" s="157">
        <f t="shared" si="3"/>
        <v>92.39419745270624</v>
      </c>
      <c r="I19" s="158">
        <f t="shared" si="4"/>
        <v>-55608.8</v>
      </c>
      <c r="J19" s="158">
        <f t="shared" si="5"/>
        <v>49.40054595086442</v>
      </c>
      <c r="K19" s="169">
        <v>37124.61</v>
      </c>
      <c r="L19" s="161">
        <f t="shared" si="9"/>
        <v>17166.589999999997</v>
      </c>
      <c r="M19" s="216">
        <f t="shared" si="10"/>
        <v>1.4624045882232837</v>
      </c>
      <c r="N19" s="157" t="e">
        <f>E19-#REF!</f>
        <v>#REF!</v>
      </c>
      <c r="O19" s="160" t="e">
        <f>F19-#REF!</f>
        <v>#REF!</v>
      </c>
      <c r="P19" s="161" t="e">
        <f t="shared" si="6"/>
        <v>#REF!</v>
      </c>
      <c r="Q19" s="158" t="e">
        <f aca="true" t="shared" si="11" ref="Q19:Q24">O19/N19*100</f>
        <v>#REF!</v>
      </c>
      <c r="R19" s="107"/>
      <c r="S19" s="108"/>
      <c r="T19" s="147">
        <f t="shared" si="8"/>
        <v>51139.6</v>
      </c>
      <c r="U19" s="6">
        <v>3348</v>
      </c>
    </row>
    <row r="20" spans="1:20" s="6" customFormat="1" ht="18">
      <c r="A20" s="8"/>
      <c r="B20" s="117" t="s">
        <v>74</v>
      </c>
      <c r="C20" s="43">
        <v>18000000</v>
      </c>
      <c r="D20" s="150">
        <f>D21+D30+D32+D29</f>
        <v>270940</v>
      </c>
      <c r="E20" s="150">
        <f>E21+E30+E32+E29</f>
        <v>176671.61</v>
      </c>
      <c r="F20" s="228">
        <f>F21+F29+F30+F31+F32</f>
        <v>193690.84</v>
      </c>
      <c r="G20" s="150">
        <f t="shared" si="0"/>
        <v>17019.23000000001</v>
      </c>
      <c r="H20" s="157">
        <f t="shared" si="3"/>
        <v>109.63325686566168</v>
      </c>
      <c r="I20" s="158">
        <f t="shared" si="4"/>
        <v>-77249.16</v>
      </c>
      <c r="J20" s="158">
        <f t="shared" si="5"/>
        <v>71.4884623901971</v>
      </c>
      <c r="K20" s="158">
        <v>122956.99</v>
      </c>
      <c r="L20" s="161">
        <f t="shared" si="9"/>
        <v>70733.84999999999</v>
      </c>
      <c r="M20" s="211">
        <f t="shared" si="10"/>
        <v>1.5752731097272306</v>
      </c>
      <c r="N20" s="157" t="e">
        <f>N21+N30+N31+N32</f>
        <v>#REF!</v>
      </c>
      <c r="O20" s="160" t="e">
        <f>F20-#REF!</f>
        <v>#REF!</v>
      </c>
      <c r="P20" s="161" t="e">
        <f t="shared" si="6"/>
        <v>#REF!</v>
      </c>
      <c r="Q20" s="158" t="e">
        <f t="shared" si="11"/>
        <v>#REF!</v>
      </c>
      <c r="R20" s="107"/>
      <c r="S20" s="108"/>
      <c r="T20" s="147">
        <f t="shared" si="8"/>
        <v>94268.39000000001</v>
      </c>
    </row>
    <row r="21" spans="1:20" s="6" customFormat="1" ht="18">
      <c r="A21" s="8"/>
      <c r="B21" s="44" t="s">
        <v>82</v>
      </c>
      <c r="C21" s="114">
        <v>18010000</v>
      </c>
      <c r="D21" s="150">
        <f>D22+D25+D26</f>
        <v>161400</v>
      </c>
      <c r="E21" s="150">
        <f>E22+E25+E26</f>
        <v>96488.66</v>
      </c>
      <c r="F21" s="170">
        <f>F22+F25+F26</f>
        <v>105956.73</v>
      </c>
      <c r="G21" s="150">
        <f t="shared" si="0"/>
        <v>9468.069999999992</v>
      </c>
      <c r="H21" s="157">
        <f t="shared" si="3"/>
        <v>109.81262461308926</v>
      </c>
      <c r="I21" s="158">
        <f t="shared" si="4"/>
        <v>-55443.270000000004</v>
      </c>
      <c r="J21" s="158">
        <f t="shared" si="5"/>
        <v>65.648531598513</v>
      </c>
      <c r="K21" s="158">
        <v>67867.18</v>
      </c>
      <c r="L21" s="161">
        <f t="shared" si="9"/>
        <v>38089.55</v>
      </c>
      <c r="M21" s="211">
        <f t="shared" si="10"/>
        <v>1.5612366684456318</v>
      </c>
      <c r="N21" s="157" t="e">
        <f>N22+N25+N26</f>
        <v>#REF!</v>
      </c>
      <c r="O21" s="160" t="e">
        <f>F21-#REF!</f>
        <v>#REF!</v>
      </c>
      <c r="P21" s="161" t="e">
        <f t="shared" si="6"/>
        <v>#REF!</v>
      </c>
      <c r="Q21" s="158" t="e">
        <f t="shared" si="11"/>
        <v>#REF!</v>
      </c>
      <c r="R21" s="107"/>
      <c r="S21" s="108"/>
      <c r="T21" s="147">
        <f t="shared" si="8"/>
        <v>64911.34</v>
      </c>
    </row>
    <row r="22" spans="1:21" s="6" customFormat="1" ht="18">
      <c r="A22" s="8"/>
      <c r="B22" s="50" t="s">
        <v>75</v>
      </c>
      <c r="C22" s="123"/>
      <c r="D22" s="171">
        <v>18500</v>
      </c>
      <c r="E22" s="171">
        <v>12591.6</v>
      </c>
      <c r="F22" s="172">
        <v>13870.14</v>
      </c>
      <c r="G22" s="171">
        <f t="shared" si="0"/>
        <v>1278.539999999999</v>
      </c>
      <c r="H22" s="173">
        <f t="shared" si="3"/>
        <v>110.15391213189744</v>
      </c>
      <c r="I22" s="174">
        <f t="shared" si="4"/>
        <v>-4629.860000000001</v>
      </c>
      <c r="J22" s="174">
        <f t="shared" si="5"/>
        <v>74.97372972972973</v>
      </c>
      <c r="K22" s="175">
        <v>8455.99</v>
      </c>
      <c r="L22" s="166">
        <f t="shared" si="9"/>
        <v>5414.15</v>
      </c>
      <c r="M22" s="219">
        <f t="shared" si="10"/>
        <v>1.6402739359909366</v>
      </c>
      <c r="N22" s="173" t="e">
        <f>E22-#REF!</f>
        <v>#REF!</v>
      </c>
      <c r="O22" s="176" t="e">
        <f>F22-#REF!</f>
        <v>#REF!</v>
      </c>
      <c r="P22" s="177" t="e">
        <f t="shared" si="6"/>
        <v>#REF!</v>
      </c>
      <c r="Q22" s="174" t="e">
        <f t="shared" si="11"/>
        <v>#REF!</v>
      </c>
      <c r="R22" s="107"/>
      <c r="S22" s="108"/>
      <c r="T22" s="147">
        <f t="shared" si="8"/>
        <v>5908.4</v>
      </c>
      <c r="U22" s="147"/>
    </row>
    <row r="23" spans="1:21" s="6" customFormat="1" ht="18" hidden="1">
      <c r="A23" s="8"/>
      <c r="B23" s="196" t="s">
        <v>112</v>
      </c>
      <c r="C23" s="197"/>
      <c r="D23" s="200">
        <v>2000</v>
      </c>
      <c r="E23" s="200">
        <v>689.1</v>
      </c>
      <c r="F23" s="163">
        <v>537.83</v>
      </c>
      <c r="G23" s="200">
        <f t="shared" si="0"/>
        <v>-151.26999999999998</v>
      </c>
      <c r="H23" s="201">
        <f t="shared" si="3"/>
        <v>78.04817878392106</v>
      </c>
      <c r="I23" s="202">
        <f t="shared" si="4"/>
        <v>-1462.17</v>
      </c>
      <c r="J23" s="202">
        <f t="shared" si="5"/>
        <v>26.8915</v>
      </c>
      <c r="K23" s="218">
        <v>461.3</v>
      </c>
      <c r="L23" s="218">
        <f aca="true" t="shared" si="12" ref="L23:L39">F23-K23</f>
        <v>76.53000000000003</v>
      </c>
      <c r="M23" s="220">
        <f aca="true" t="shared" si="13" ref="M23:M28">F23/K23</f>
        <v>1.1659007153696077</v>
      </c>
      <c r="N23" s="198" t="e">
        <f>E23-#REF!</f>
        <v>#REF!</v>
      </c>
      <c r="O23" s="198" t="e">
        <f>F23-#REF!</f>
        <v>#REF!</v>
      </c>
      <c r="P23" s="199" t="e">
        <f t="shared" si="6"/>
        <v>#REF!</v>
      </c>
      <c r="Q23" s="199" t="e">
        <f t="shared" si="11"/>
        <v>#REF!</v>
      </c>
      <c r="R23" s="107"/>
      <c r="S23" s="108"/>
      <c r="T23" s="147">
        <f t="shared" si="8"/>
        <v>1310.9</v>
      </c>
      <c r="U23" s="147"/>
    </row>
    <row r="24" spans="1:21" s="6" customFormat="1" ht="18" hidden="1">
      <c r="A24" s="8"/>
      <c r="B24" s="196" t="s">
        <v>113</v>
      </c>
      <c r="C24" s="197"/>
      <c r="D24" s="200">
        <v>16500</v>
      </c>
      <c r="E24" s="200">
        <v>11902.5</v>
      </c>
      <c r="F24" s="163">
        <v>13332.31</v>
      </c>
      <c r="G24" s="200">
        <f t="shared" si="0"/>
        <v>1429.8099999999995</v>
      </c>
      <c r="H24" s="201">
        <f t="shared" si="3"/>
        <v>112.01268641041797</v>
      </c>
      <c r="I24" s="202">
        <f t="shared" si="4"/>
        <v>-3167.6900000000005</v>
      </c>
      <c r="J24" s="202">
        <f t="shared" si="5"/>
        <v>80.80187878787879</v>
      </c>
      <c r="K24" s="218">
        <v>7994.69</v>
      </c>
      <c r="L24" s="218">
        <f t="shared" si="12"/>
        <v>5337.62</v>
      </c>
      <c r="M24" s="220">
        <f t="shared" si="13"/>
        <v>1.6676456498000547</v>
      </c>
      <c r="N24" s="198" t="e">
        <f>E24-#REF!</f>
        <v>#REF!</v>
      </c>
      <c r="O24" s="198" t="e">
        <f>F24-#REF!</f>
        <v>#REF!</v>
      </c>
      <c r="P24" s="199" t="e">
        <f t="shared" si="6"/>
        <v>#REF!</v>
      </c>
      <c r="Q24" s="199" t="e">
        <f t="shared" si="11"/>
        <v>#REF!</v>
      </c>
      <c r="R24" s="107"/>
      <c r="S24" s="108"/>
      <c r="T24" s="147">
        <f t="shared" si="8"/>
        <v>4597.5</v>
      </c>
      <c r="U24" s="147"/>
    </row>
    <row r="25" spans="1:20" s="6" customFormat="1" ht="18">
      <c r="A25" s="8"/>
      <c r="B25" s="50" t="s">
        <v>76</v>
      </c>
      <c r="C25" s="123"/>
      <c r="D25" s="171">
        <v>2800</v>
      </c>
      <c r="E25" s="171">
        <v>693.14</v>
      </c>
      <c r="F25" s="172">
        <v>478.8</v>
      </c>
      <c r="G25" s="171">
        <f t="shared" si="0"/>
        <v>-214.33999999999997</v>
      </c>
      <c r="H25" s="173">
        <f t="shared" si="3"/>
        <v>69.07695415067664</v>
      </c>
      <c r="I25" s="174">
        <f t="shared" si="4"/>
        <v>-2321.2</v>
      </c>
      <c r="J25" s="174">
        <f t="shared" si="5"/>
        <v>17.1</v>
      </c>
      <c r="K25" s="174">
        <v>773.2</v>
      </c>
      <c r="L25" s="174">
        <f t="shared" si="12"/>
        <v>-294.40000000000003</v>
      </c>
      <c r="M25" s="214">
        <f t="shared" si="13"/>
        <v>0.619244697361614</v>
      </c>
      <c r="N25" s="173" t="e">
        <f>E25-#REF!</f>
        <v>#REF!</v>
      </c>
      <c r="O25" s="176" t="e">
        <f>F25-#REF!</f>
        <v>#REF!</v>
      </c>
      <c r="P25" s="177" t="e">
        <f t="shared" si="6"/>
        <v>#REF!</v>
      </c>
      <c r="Q25" s="174"/>
      <c r="R25" s="107"/>
      <c r="S25" s="108"/>
      <c r="T25" s="147">
        <f t="shared" si="8"/>
        <v>2106.86</v>
      </c>
    </row>
    <row r="26" spans="1:20" s="6" customFormat="1" ht="18">
      <c r="A26" s="8"/>
      <c r="B26" s="50" t="s">
        <v>77</v>
      </c>
      <c r="C26" s="123"/>
      <c r="D26" s="171">
        <v>140100</v>
      </c>
      <c r="E26" s="171">
        <f>83323.92-120</f>
        <v>83203.92</v>
      </c>
      <c r="F26" s="172">
        <v>91607.79</v>
      </c>
      <c r="G26" s="171">
        <f t="shared" si="0"/>
        <v>8403.869999999995</v>
      </c>
      <c r="H26" s="173">
        <f t="shared" si="3"/>
        <v>110.10032940755676</v>
      </c>
      <c r="I26" s="174">
        <f t="shared" si="4"/>
        <v>-48492.21000000001</v>
      </c>
      <c r="J26" s="174">
        <f t="shared" si="5"/>
        <v>65.38743040685225</v>
      </c>
      <c r="K26" s="175">
        <v>58637.99</v>
      </c>
      <c r="L26" s="175">
        <f t="shared" si="12"/>
        <v>32969.799999999996</v>
      </c>
      <c r="M26" s="213">
        <f t="shared" si="13"/>
        <v>1.5622600638255164</v>
      </c>
      <c r="N26" s="173" t="e">
        <f>E26-#REF!</f>
        <v>#REF!</v>
      </c>
      <c r="O26" s="176" t="e">
        <f>F26-#REF!</f>
        <v>#REF!</v>
      </c>
      <c r="P26" s="177" t="e">
        <f t="shared" si="6"/>
        <v>#REF!</v>
      </c>
      <c r="Q26" s="174" t="e">
        <f>O26/N26*100</f>
        <v>#REF!</v>
      </c>
      <c r="R26" s="107"/>
      <c r="S26" s="108"/>
      <c r="T26" s="147">
        <f t="shared" si="8"/>
        <v>56896.08</v>
      </c>
    </row>
    <row r="27" spans="1:20" s="6" customFormat="1" ht="18" hidden="1">
      <c r="A27" s="8"/>
      <c r="B27" s="196" t="s">
        <v>114</v>
      </c>
      <c r="C27" s="197"/>
      <c r="D27" s="200">
        <v>38057</v>
      </c>
      <c r="E27" s="200">
        <f>23964.75-120</f>
        <v>23844.75</v>
      </c>
      <c r="F27" s="163">
        <v>29285.76</v>
      </c>
      <c r="G27" s="200">
        <f t="shared" si="0"/>
        <v>5441.009999999998</v>
      </c>
      <c r="H27" s="201">
        <f t="shared" si="3"/>
        <v>122.81848205579844</v>
      </c>
      <c r="I27" s="202">
        <f t="shared" si="4"/>
        <v>-8771.240000000002</v>
      </c>
      <c r="J27" s="202">
        <f t="shared" si="5"/>
        <v>76.95236093228579</v>
      </c>
      <c r="K27" s="218">
        <v>15594.88</v>
      </c>
      <c r="L27" s="218">
        <f t="shared" si="12"/>
        <v>13690.88</v>
      </c>
      <c r="M27" s="220">
        <f t="shared" si="13"/>
        <v>1.8779086469405344</v>
      </c>
      <c r="N27" s="198" t="e">
        <f>E27-#REF!</f>
        <v>#REF!</v>
      </c>
      <c r="O27" s="198" t="e">
        <f>F27-#REF!</f>
        <v>#REF!</v>
      </c>
      <c r="P27" s="199" t="e">
        <f t="shared" si="6"/>
        <v>#REF!</v>
      </c>
      <c r="Q27" s="199" t="e">
        <f>O27/N27*100</f>
        <v>#REF!</v>
      </c>
      <c r="R27" s="107"/>
      <c r="S27" s="108"/>
      <c r="T27" s="147">
        <f t="shared" si="8"/>
        <v>14212.25</v>
      </c>
    </row>
    <row r="28" spans="1:20" s="6" customFormat="1" ht="18" hidden="1">
      <c r="A28" s="8"/>
      <c r="B28" s="196" t="s">
        <v>115</v>
      </c>
      <c r="C28" s="197"/>
      <c r="D28" s="200">
        <v>102043</v>
      </c>
      <c r="E28" s="200">
        <v>59359.17</v>
      </c>
      <c r="F28" s="163">
        <v>62322.03</v>
      </c>
      <c r="G28" s="200">
        <f t="shared" si="0"/>
        <v>2962.8600000000006</v>
      </c>
      <c r="H28" s="201">
        <f t="shared" si="3"/>
        <v>104.99141076265049</v>
      </c>
      <c r="I28" s="202">
        <f t="shared" si="4"/>
        <v>-39720.97</v>
      </c>
      <c r="J28" s="202">
        <f t="shared" si="5"/>
        <v>61.07428241035642</v>
      </c>
      <c r="K28" s="218">
        <v>43043.11</v>
      </c>
      <c r="L28" s="218">
        <f t="shared" si="12"/>
        <v>19278.92</v>
      </c>
      <c r="M28" s="220">
        <f t="shared" si="13"/>
        <v>1.4478979330257502</v>
      </c>
      <c r="N28" s="198" t="e">
        <f>E28-#REF!</f>
        <v>#REF!</v>
      </c>
      <c r="O28" s="198" t="e">
        <f>F28-#REF!</f>
        <v>#REF!</v>
      </c>
      <c r="P28" s="199" t="e">
        <f t="shared" si="6"/>
        <v>#REF!</v>
      </c>
      <c r="Q28" s="199" t="e">
        <f>O28/N28*100</f>
        <v>#REF!</v>
      </c>
      <c r="R28" s="107"/>
      <c r="S28" s="108"/>
      <c r="T28" s="147">
        <f t="shared" si="8"/>
        <v>42683.83</v>
      </c>
    </row>
    <row r="29" spans="1:20" s="6" customFormat="1" ht="18">
      <c r="A29" s="8"/>
      <c r="B29" s="44" t="s">
        <v>125</v>
      </c>
      <c r="C29" s="227">
        <v>18020000</v>
      </c>
      <c r="D29" s="162">
        <v>0</v>
      </c>
      <c r="E29" s="162">
        <v>0</v>
      </c>
      <c r="F29" s="201">
        <v>0.15</v>
      </c>
      <c r="G29" s="150">
        <f t="shared" si="0"/>
        <v>0.15</v>
      </c>
      <c r="H29" s="157"/>
      <c r="I29" s="158">
        <f t="shared" si="4"/>
        <v>0.15</v>
      </c>
      <c r="J29" s="158"/>
      <c r="K29" s="167">
        <v>0</v>
      </c>
      <c r="L29" s="158">
        <f t="shared" si="12"/>
        <v>0.15</v>
      </c>
      <c r="M29" s="212"/>
      <c r="N29" s="173">
        <v>0</v>
      </c>
      <c r="O29" s="160">
        <f>F29</f>
        <v>0.15</v>
      </c>
      <c r="P29" s="161">
        <f t="shared" si="6"/>
        <v>0.15</v>
      </c>
      <c r="Q29" s="158"/>
      <c r="R29" s="107"/>
      <c r="S29" s="108"/>
      <c r="T29" s="147">
        <f t="shared" si="8"/>
        <v>0</v>
      </c>
    </row>
    <row r="30" spans="1:20" s="6" customFormat="1" ht="18">
      <c r="A30" s="8"/>
      <c r="B30" s="44" t="s">
        <v>83</v>
      </c>
      <c r="C30" s="114">
        <v>18030000</v>
      </c>
      <c r="D30" s="150">
        <v>77</v>
      </c>
      <c r="E30" s="150">
        <v>40.91</v>
      </c>
      <c r="F30" s="156">
        <v>65.62</v>
      </c>
      <c r="G30" s="150">
        <f t="shared" si="0"/>
        <v>24.710000000000008</v>
      </c>
      <c r="H30" s="157">
        <f t="shared" si="3"/>
        <v>160.4008799804449</v>
      </c>
      <c r="I30" s="158">
        <f t="shared" si="4"/>
        <v>-11.379999999999995</v>
      </c>
      <c r="J30" s="158">
        <f t="shared" si="5"/>
        <v>85.22077922077924</v>
      </c>
      <c r="K30" s="158">
        <v>41.66</v>
      </c>
      <c r="L30" s="158">
        <f t="shared" si="12"/>
        <v>23.960000000000008</v>
      </c>
      <c r="M30" s="212">
        <f>F30/K30</f>
        <v>1.57513202112338</v>
      </c>
      <c r="N30" s="157" t="e">
        <f>E30-#REF!</f>
        <v>#REF!</v>
      </c>
      <c r="O30" s="160" t="e">
        <f>F30-#REF!</f>
        <v>#REF!</v>
      </c>
      <c r="P30" s="161" t="e">
        <f t="shared" si="6"/>
        <v>#REF!</v>
      </c>
      <c r="Q30" s="158" t="e">
        <f>O30/N30*100</f>
        <v>#REF!</v>
      </c>
      <c r="R30" s="107"/>
      <c r="S30" s="108"/>
      <c r="T30" s="147">
        <f t="shared" si="8"/>
        <v>36.09</v>
      </c>
    </row>
    <row r="31" spans="1:20" s="6" customFormat="1" ht="49.5" customHeight="1">
      <c r="A31" s="8"/>
      <c r="B31" s="44" t="s">
        <v>84</v>
      </c>
      <c r="C31" s="114">
        <v>18040000</v>
      </c>
      <c r="D31" s="150"/>
      <c r="E31" s="150"/>
      <c r="F31" s="156">
        <v>-138.73</v>
      </c>
      <c r="G31" s="150">
        <f t="shared" si="0"/>
        <v>-138.73</v>
      </c>
      <c r="H31" s="157"/>
      <c r="I31" s="158">
        <f t="shared" si="4"/>
        <v>-138.73</v>
      </c>
      <c r="J31" s="158"/>
      <c r="K31" s="158">
        <v>-530.36</v>
      </c>
      <c r="L31" s="158">
        <f t="shared" si="12"/>
        <v>391.63</v>
      </c>
      <c r="M31" s="212">
        <f>F31/K31</f>
        <v>0.2615770420092013</v>
      </c>
      <c r="N31" s="157" t="e">
        <f>E31-#REF!</f>
        <v>#REF!</v>
      </c>
      <c r="O31" s="160" t="e">
        <f>F31-#REF!</f>
        <v>#REF!</v>
      </c>
      <c r="P31" s="161" t="e">
        <f t="shared" si="6"/>
        <v>#REF!</v>
      </c>
      <c r="Q31" s="158"/>
      <c r="R31" s="107"/>
      <c r="S31" s="108"/>
      <c r="T31" s="147">
        <f t="shared" si="8"/>
        <v>0</v>
      </c>
    </row>
    <row r="32" spans="1:20" s="6" customFormat="1" ht="18">
      <c r="A32" s="8"/>
      <c r="B32" s="44" t="s">
        <v>85</v>
      </c>
      <c r="C32" s="114">
        <v>18050000</v>
      </c>
      <c r="D32" s="162">
        <v>109463</v>
      </c>
      <c r="E32" s="162">
        <f>80142.04</f>
        <v>80142.04</v>
      </c>
      <c r="F32" s="163">
        <v>87807.07</v>
      </c>
      <c r="G32" s="162">
        <f t="shared" si="0"/>
        <v>7665.030000000013</v>
      </c>
      <c r="H32" s="164">
        <f t="shared" si="3"/>
        <v>109.56430607456463</v>
      </c>
      <c r="I32" s="165">
        <f t="shared" si="4"/>
        <v>-21655.929999999993</v>
      </c>
      <c r="J32" s="165">
        <f t="shared" si="5"/>
        <v>80.21621004357638</v>
      </c>
      <c r="K32" s="178">
        <v>55578.51</v>
      </c>
      <c r="L32" s="178">
        <f t="shared" si="12"/>
        <v>32228.560000000005</v>
      </c>
      <c r="M32" s="215">
        <f>F32/L32</f>
        <v>2.7245111168479137</v>
      </c>
      <c r="N32" s="157" t="e">
        <f>E32-#REF!</f>
        <v>#REF!</v>
      </c>
      <c r="O32" s="160" t="e">
        <f>F32-#REF!</f>
        <v>#REF!</v>
      </c>
      <c r="P32" s="167" t="e">
        <f t="shared" si="6"/>
        <v>#REF!</v>
      </c>
      <c r="Q32" s="165" t="e">
        <f>O32/N32*100</f>
        <v>#REF!</v>
      </c>
      <c r="R32" s="107"/>
      <c r="S32" s="108"/>
      <c r="T32" s="147">
        <f t="shared" si="8"/>
        <v>29320.960000000006</v>
      </c>
    </row>
    <row r="33" spans="1:20" s="6" customFormat="1" ht="15">
      <c r="A33" s="8"/>
      <c r="B33" s="50" t="s">
        <v>92</v>
      </c>
      <c r="C33" s="102">
        <v>18050200</v>
      </c>
      <c r="D33" s="103">
        <v>0</v>
      </c>
      <c r="E33" s="103">
        <v>0</v>
      </c>
      <c r="F33" s="140">
        <v>0.22</v>
      </c>
      <c r="G33" s="103">
        <f t="shared" si="0"/>
        <v>0.22</v>
      </c>
      <c r="H33" s="105"/>
      <c r="I33" s="104">
        <f t="shared" si="4"/>
        <v>0.22</v>
      </c>
      <c r="J33" s="104"/>
      <c r="K33" s="127">
        <v>-1.2</v>
      </c>
      <c r="L33" s="127">
        <f t="shared" si="12"/>
        <v>1.42</v>
      </c>
      <c r="M33" s="221">
        <f aca="true" t="shared" si="14" ref="M33:M39">F33/K33</f>
        <v>-0.18333333333333335</v>
      </c>
      <c r="N33" s="105" t="e">
        <f>E33-#REF!</f>
        <v>#REF!</v>
      </c>
      <c r="O33" s="144" t="e">
        <f>F33-#REF!</f>
        <v>#REF!</v>
      </c>
      <c r="P33" s="106" t="e">
        <f t="shared" si="6"/>
        <v>#REF!</v>
      </c>
      <c r="Q33" s="104"/>
      <c r="R33" s="107"/>
      <c r="S33" s="108"/>
      <c r="T33" s="147">
        <f t="shared" si="8"/>
        <v>0</v>
      </c>
    </row>
    <row r="34" spans="1:20" s="6" customFormat="1" ht="15">
      <c r="A34" s="8"/>
      <c r="B34" s="50" t="s">
        <v>93</v>
      </c>
      <c r="C34" s="102">
        <v>18050300</v>
      </c>
      <c r="D34" s="103">
        <v>27600</v>
      </c>
      <c r="E34" s="103">
        <v>19695.97</v>
      </c>
      <c r="F34" s="140">
        <v>21754.51</v>
      </c>
      <c r="G34" s="103">
        <f t="shared" si="0"/>
        <v>2058.5399999999972</v>
      </c>
      <c r="H34" s="105">
        <f t="shared" si="3"/>
        <v>110.4515796886368</v>
      </c>
      <c r="I34" s="104">
        <f t="shared" si="4"/>
        <v>-5845.490000000002</v>
      </c>
      <c r="J34" s="104">
        <f t="shared" si="5"/>
        <v>78.82068840579709</v>
      </c>
      <c r="K34" s="127">
        <v>13078.86</v>
      </c>
      <c r="L34" s="127">
        <f t="shared" si="12"/>
        <v>8675.649999999998</v>
      </c>
      <c r="M34" s="221">
        <f t="shared" si="14"/>
        <v>1.6633338073807653</v>
      </c>
      <c r="N34" s="105" t="e">
        <f>E34-#REF!</f>
        <v>#REF!</v>
      </c>
      <c r="O34" s="144" t="e">
        <f>F34-#REF!</f>
        <v>#REF!</v>
      </c>
      <c r="P34" s="106" t="e">
        <f t="shared" si="6"/>
        <v>#REF!</v>
      </c>
      <c r="Q34" s="104" t="e">
        <f>O34/N34*100</f>
        <v>#REF!</v>
      </c>
      <c r="R34" s="107"/>
      <c r="S34" s="108"/>
      <c r="T34" s="147">
        <f t="shared" si="8"/>
        <v>7904.029999999999</v>
      </c>
    </row>
    <row r="35" spans="1:20" s="6" customFormat="1" ht="15">
      <c r="A35" s="8"/>
      <c r="B35" s="50" t="s">
        <v>94</v>
      </c>
      <c r="C35" s="102">
        <v>18050400</v>
      </c>
      <c r="D35" s="103">
        <v>81812</v>
      </c>
      <c r="E35" s="103">
        <v>60436.08</v>
      </c>
      <c r="F35" s="140">
        <v>66031.82</v>
      </c>
      <c r="G35" s="103">
        <f t="shared" si="0"/>
        <v>5595.740000000005</v>
      </c>
      <c r="H35" s="105">
        <f t="shared" si="3"/>
        <v>109.25893936204996</v>
      </c>
      <c r="I35" s="104">
        <f t="shared" si="4"/>
        <v>-15780.179999999993</v>
      </c>
      <c r="J35" s="104">
        <f t="shared" si="5"/>
        <v>80.71165599178606</v>
      </c>
      <c r="K35" s="127">
        <v>42491.04</v>
      </c>
      <c r="L35" s="127">
        <f t="shared" si="12"/>
        <v>23540.780000000006</v>
      </c>
      <c r="M35" s="221">
        <f t="shared" si="14"/>
        <v>1.5540175058082835</v>
      </c>
      <c r="N35" s="105" t="e">
        <f>E35-#REF!</f>
        <v>#REF!</v>
      </c>
      <c r="O35" s="144" t="e">
        <f>F35-#REF!</f>
        <v>#REF!</v>
      </c>
      <c r="P35" s="106" t="e">
        <f t="shared" si="6"/>
        <v>#REF!</v>
      </c>
      <c r="Q35" s="104" t="e">
        <f>O35/N35*100</f>
        <v>#REF!</v>
      </c>
      <c r="R35" s="107"/>
      <c r="S35" s="108"/>
      <c r="T35" s="147">
        <f t="shared" si="8"/>
        <v>21375.92</v>
      </c>
    </row>
    <row r="36" spans="1:20" s="6" customFormat="1" ht="15">
      <c r="A36" s="8"/>
      <c r="B36" s="50" t="s">
        <v>95</v>
      </c>
      <c r="C36" s="102">
        <v>18050500</v>
      </c>
      <c r="D36" s="103">
        <v>51</v>
      </c>
      <c r="E36" s="103">
        <v>9.99</v>
      </c>
      <c r="F36" s="140">
        <v>20.52</v>
      </c>
      <c r="G36" s="103">
        <f t="shared" si="0"/>
        <v>10.53</v>
      </c>
      <c r="H36" s="105">
        <f t="shared" si="3"/>
        <v>205.4054054054054</v>
      </c>
      <c r="I36" s="104">
        <f t="shared" si="4"/>
        <v>-30.48</v>
      </c>
      <c r="J36" s="104">
        <f t="shared" si="5"/>
        <v>40.23529411764706</v>
      </c>
      <c r="K36" s="127">
        <v>9.8</v>
      </c>
      <c r="L36" s="127">
        <f t="shared" si="12"/>
        <v>10.719999999999999</v>
      </c>
      <c r="M36" s="221">
        <f t="shared" si="14"/>
        <v>2.093877551020408</v>
      </c>
      <c r="N36" s="105" t="e">
        <f>E36-#REF!</f>
        <v>#REF!</v>
      </c>
      <c r="O36" s="144" t="e">
        <f>F36-#REF!</f>
        <v>#REF!</v>
      </c>
      <c r="P36" s="106" t="e">
        <f t="shared" si="6"/>
        <v>#REF!</v>
      </c>
      <c r="Q36" s="104"/>
      <c r="R36" s="107"/>
      <c r="S36" s="108"/>
      <c r="T36" s="147">
        <f t="shared" si="8"/>
        <v>41.01</v>
      </c>
    </row>
    <row r="37" spans="1:20" s="6" customFormat="1" ht="15" customHeight="1">
      <c r="A37" s="8"/>
      <c r="B37" s="44" t="s">
        <v>46</v>
      </c>
      <c r="C37" s="43">
        <v>19010000</v>
      </c>
      <c r="D37" s="34">
        <v>0</v>
      </c>
      <c r="E37" s="34">
        <v>0</v>
      </c>
      <c r="F37" s="34">
        <v>0</v>
      </c>
      <c r="G37" s="34">
        <f t="shared" si="0"/>
        <v>0</v>
      </c>
      <c r="H37" s="30"/>
      <c r="I37" s="37">
        <f t="shared" si="4"/>
        <v>0</v>
      </c>
      <c r="J37" s="37"/>
      <c r="K37" s="119">
        <v>4029.06</v>
      </c>
      <c r="L37" s="119">
        <f t="shared" si="12"/>
        <v>-4029.06</v>
      </c>
      <c r="M37" s="222">
        <f t="shared" si="14"/>
        <v>0</v>
      </c>
      <c r="N37" s="30">
        <v>0</v>
      </c>
      <c r="O37" s="144" t="e">
        <f>F37-#REF!</f>
        <v>#REF!</v>
      </c>
      <c r="P37" s="36" t="e">
        <f t="shared" si="6"/>
        <v>#REF!</v>
      </c>
      <c r="Q37" s="37"/>
      <c r="R37" s="107"/>
      <c r="S37" s="108"/>
      <c r="T37" s="147">
        <f t="shared" si="8"/>
        <v>0</v>
      </c>
    </row>
    <row r="38" spans="1:20" s="6" customFormat="1" ht="17.25">
      <c r="A38" s="7"/>
      <c r="B38" s="16" t="s">
        <v>12</v>
      </c>
      <c r="C38" s="70">
        <v>20000000</v>
      </c>
      <c r="D38" s="151">
        <f>D39+D40+D41+D42+D43+D45+D47+D48+D49+D50+D51+D56+D57+D61</f>
        <v>42820</v>
      </c>
      <c r="E38" s="151">
        <f>E39+E40+E41+E42+E43+E45+E47+E48+E49+E50+E51+E56+E57+E61</f>
        <v>24995.029999999995</v>
      </c>
      <c r="F38" s="151">
        <f>F39+F40+F41+F42+F43+F45+F47+F48+F49+F50+F51+F56+F57+F61+F44</f>
        <v>36786.28</v>
      </c>
      <c r="G38" s="151">
        <f>G39+G40+G41+G42+G43+G45+G47+G48+G49+G50+G51+G56+G57+G61</f>
        <v>11763.77</v>
      </c>
      <c r="H38" s="152">
        <f>F38/E38*100</f>
        <v>147.17437826639937</v>
      </c>
      <c r="I38" s="153">
        <f>F38-D38</f>
        <v>-6033.720000000001</v>
      </c>
      <c r="J38" s="153">
        <f>F38/D38*100</f>
        <v>85.90910789350771</v>
      </c>
      <c r="K38" s="151">
        <v>18825.24</v>
      </c>
      <c r="L38" s="151">
        <f t="shared" si="12"/>
        <v>17961.039999999997</v>
      </c>
      <c r="M38" s="207">
        <f t="shared" si="14"/>
        <v>1.9540935467489389</v>
      </c>
      <c r="N38" s="151" t="e">
        <f>N39+N40+N41+N42+N43+N45+N47+N48+N49+N50+N51+N56+N57+N61</f>
        <v>#REF!</v>
      </c>
      <c r="O38" s="151" t="e">
        <f>O39+O40+O41+O42+O43+O45+O47+O48+O49+O50+O51+O56+O57+O61+O44</f>
        <v>#REF!</v>
      </c>
      <c r="P38" s="151" t="e">
        <f>P39+P40+P41+P42+P43+P45+P47+P48+P49+P50+P51+P56+P57+P61</f>
        <v>#REF!</v>
      </c>
      <c r="Q38" s="151" t="e">
        <f>O38/N38*100</f>
        <v>#REF!</v>
      </c>
      <c r="R38" s="15" t="e">
        <f>#N/A</f>
        <v>#N/A</v>
      </c>
      <c r="S38" s="15" t="e">
        <f>#N/A</f>
        <v>#N/A</v>
      </c>
      <c r="T38" s="147">
        <f t="shared" si="8"/>
        <v>17824.970000000005</v>
      </c>
    </row>
    <row r="39" spans="1:20" s="6" customFormat="1" ht="46.5">
      <c r="A39" s="8"/>
      <c r="B39" s="44" t="s">
        <v>100</v>
      </c>
      <c r="C39" s="43">
        <v>21010301</v>
      </c>
      <c r="D39" s="150">
        <v>100</v>
      </c>
      <c r="E39" s="150">
        <v>70</v>
      </c>
      <c r="F39" s="156">
        <v>241.39</v>
      </c>
      <c r="G39" s="162">
        <f>F39-E39</f>
        <v>171.39</v>
      </c>
      <c r="H39" s="164">
        <f aca="true" t="shared" si="15" ref="H39:H62">F39/E39*100</f>
        <v>344.84285714285716</v>
      </c>
      <c r="I39" s="165">
        <f>F39-D39</f>
        <v>141.39</v>
      </c>
      <c r="J39" s="165">
        <f>F39/D39*100</f>
        <v>241.39</v>
      </c>
      <c r="K39" s="165">
        <v>101.4</v>
      </c>
      <c r="L39" s="165">
        <f t="shared" si="12"/>
        <v>139.98999999999998</v>
      </c>
      <c r="M39" s="223">
        <f t="shared" si="14"/>
        <v>2.3805719921104536</v>
      </c>
      <c r="N39" s="164" t="e">
        <f>E39-#REF!</f>
        <v>#REF!</v>
      </c>
      <c r="O39" s="168" t="e">
        <f>F39-#REF!</f>
        <v>#REF!</v>
      </c>
      <c r="P39" s="167" t="e">
        <f>O39-N39</f>
        <v>#REF!</v>
      </c>
      <c r="Q39" s="165" t="e">
        <f aca="true" t="shared" si="16" ref="Q39:Q62">O39/N39*100</f>
        <v>#REF!</v>
      </c>
      <c r="R39" s="37"/>
      <c r="S39" s="94"/>
      <c r="T39" s="147">
        <f t="shared" si="8"/>
        <v>30</v>
      </c>
    </row>
    <row r="40" spans="1:20" s="6" customFormat="1" ht="30.75">
      <c r="A40" s="8"/>
      <c r="B40" s="129" t="s">
        <v>78</v>
      </c>
      <c r="C40" s="42">
        <v>21050000</v>
      </c>
      <c r="D40" s="150">
        <v>10000</v>
      </c>
      <c r="E40" s="150">
        <v>7537</v>
      </c>
      <c r="F40" s="156">
        <v>17271.02</v>
      </c>
      <c r="G40" s="162">
        <f aca="true" t="shared" si="17" ref="G40:G63">F40-E40</f>
        <v>9734.02</v>
      </c>
      <c r="H40" s="164">
        <f t="shared" si="15"/>
        <v>229.14979434788378</v>
      </c>
      <c r="I40" s="165">
        <f aca="true" t="shared" si="18" ref="I40:I63">F40-D40</f>
        <v>7271.02</v>
      </c>
      <c r="J40" s="165">
        <f>F40/D40*100</f>
        <v>172.71020000000001</v>
      </c>
      <c r="K40" s="165">
        <v>0</v>
      </c>
      <c r="L40" s="165">
        <f aca="true" t="shared" si="19" ref="L40:L51">F40-K40</f>
        <v>17271.02</v>
      </c>
      <c r="M40" s="223"/>
      <c r="N40" s="164" t="e">
        <f>E40-#REF!</f>
        <v>#REF!</v>
      </c>
      <c r="O40" s="168" t="e">
        <f>F40-#REF!</f>
        <v>#REF!</v>
      </c>
      <c r="P40" s="167" t="e">
        <f aca="true" t="shared" si="20" ref="P40:P63">O40-N40</f>
        <v>#REF!</v>
      </c>
      <c r="Q40" s="165" t="e">
        <f t="shared" si="16"/>
        <v>#REF!</v>
      </c>
      <c r="R40" s="37"/>
      <c r="S40" s="94"/>
      <c r="T40" s="147">
        <f t="shared" si="8"/>
        <v>2463</v>
      </c>
    </row>
    <row r="41" spans="1:20" s="6" customFormat="1" ht="18">
      <c r="A41" s="8"/>
      <c r="B41" s="129" t="s">
        <v>61</v>
      </c>
      <c r="C41" s="42">
        <v>21080500</v>
      </c>
      <c r="D41" s="150">
        <v>400</v>
      </c>
      <c r="E41" s="150">
        <f>131.44-20</f>
        <v>111.44</v>
      </c>
      <c r="F41" s="156">
        <v>28.07</v>
      </c>
      <c r="G41" s="162">
        <f t="shared" si="17"/>
        <v>-83.37</v>
      </c>
      <c r="H41" s="164">
        <f t="shared" si="15"/>
        <v>25.18844221105528</v>
      </c>
      <c r="I41" s="165">
        <f t="shared" si="18"/>
        <v>-371.93</v>
      </c>
      <c r="J41" s="165">
        <f aca="true" t="shared" si="21" ref="J41:J62">F41/D41*100</f>
        <v>7.0175</v>
      </c>
      <c r="K41" s="165">
        <v>246.49</v>
      </c>
      <c r="L41" s="165">
        <f t="shared" si="19"/>
        <v>-218.42000000000002</v>
      </c>
      <c r="M41" s="223">
        <f aca="true" t="shared" si="22" ref="M41:M51">F41/K41</f>
        <v>0.11387885918292831</v>
      </c>
      <c r="N41" s="164" t="e">
        <f>E41-#REF!</f>
        <v>#REF!</v>
      </c>
      <c r="O41" s="168" t="e">
        <f>F41-#REF!</f>
        <v>#REF!</v>
      </c>
      <c r="P41" s="167" t="e">
        <f t="shared" si="20"/>
        <v>#REF!</v>
      </c>
      <c r="Q41" s="165" t="e">
        <f t="shared" si="16"/>
        <v>#REF!</v>
      </c>
      <c r="R41" s="37"/>
      <c r="S41" s="94"/>
      <c r="T41" s="147">
        <f t="shared" si="8"/>
        <v>288.56</v>
      </c>
    </row>
    <row r="42" spans="1:20" s="6" customFormat="1" ht="31.5">
      <c r="A42" s="8"/>
      <c r="B42" s="26" t="s">
        <v>39</v>
      </c>
      <c r="C42" s="71">
        <v>21080900</v>
      </c>
      <c r="D42" s="150">
        <f>6.5-6.5</f>
        <v>0</v>
      </c>
      <c r="E42" s="150">
        <v>0</v>
      </c>
      <c r="F42" s="156">
        <v>0.1</v>
      </c>
      <c r="G42" s="162">
        <f t="shared" si="17"/>
        <v>0.1</v>
      </c>
      <c r="H42" s="164"/>
      <c r="I42" s="165">
        <f t="shared" si="18"/>
        <v>0.1</v>
      </c>
      <c r="J42" s="165"/>
      <c r="K42" s="165">
        <v>0</v>
      </c>
      <c r="L42" s="165">
        <f t="shared" si="19"/>
        <v>0.1</v>
      </c>
      <c r="M42" s="223"/>
      <c r="N42" s="164" t="e">
        <f>E42-#REF!</f>
        <v>#REF!</v>
      </c>
      <c r="O42" s="168" t="e">
        <f>F42-#REF!</f>
        <v>#REF!</v>
      </c>
      <c r="P42" s="167" t="e">
        <f t="shared" si="20"/>
        <v>#REF!</v>
      </c>
      <c r="Q42" s="165"/>
      <c r="R42" s="37"/>
      <c r="S42" s="94"/>
      <c r="T42" s="147">
        <f t="shared" si="8"/>
        <v>0</v>
      </c>
    </row>
    <row r="43" spans="1:20" s="6" customFormat="1" ht="18">
      <c r="A43" s="8"/>
      <c r="B43" s="130" t="s">
        <v>16</v>
      </c>
      <c r="C43" s="72">
        <v>21081100</v>
      </c>
      <c r="D43" s="150">
        <v>150</v>
      </c>
      <c r="E43" s="150">
        <v>70</v>
      </c>
      <c r="F43" s="156">
        <v>187.96</v>
      </c>
      <c r="G43" s="162">
        <f t="shared" si="17"/>
        <v>117.96000000000001</v>
      </c>
      <c r="H43" s="164">
        <f t="shared" si="15"/>
        <v>268.51428571428573</v>
      </c>
      <c r="I43" s="165">
        <f t="shared" si="18"/>
        <v>37.96000000000001</v>
      </c>
      <c r="J43" s="165">
        <f t="shared" si="21"/>
        <v>125.30666666666667</v>
      </c>
      <c r="K43" s="165">
        <v>90.24</v>
      </c>
      <c r="L43" s="165">
        <f t="shared" si="19"/>
        <v>97.72000000000001</v>
      </c>
      <c r="M43" s="223">
        <f t="shared" si="22"/>
        <v>2.082890070921986</v>
      </c>
      <c r="N43" s="164" t="e">
        <f>E43-#REF!</f>
        <v>#REF!</v>
      </c>
      <c r="O43" s="168" t="e">
        <f>F43-#REF!</f>
        <v>#REF!</v>
      </c>
      <c r="P43" s="167" t="e">
        <f t="shared" si="20"/>
        <v>#REF!</v>
      </c>
      <c r="Q43" s="165" t="e">
        <f t="shared" si="16"/>
        <v>#REF!</v>
      </c>
      <c r="R43" s="37"/>
      <c r="S43" s="94"/>
      <c r="T43" s="147">
        <f t="shared" si="8"/>
        <v>80</v>
      </c>
    </row>
    <row r="44" spans="1:20" s="6" customFormat="1" ht="46.5">
      <c r="A44" s="8"/>
      <c r="B44" s="130" t="s">
        <v>81</v>
      </c>
      <c r="C44" s="72">
        <v>21081500</v>
      </c>
      <c r="D44" s="150">
        <v>0</v>
      </c>
      <c r="E44" s="150">
        <v>0</v>
      </c>
      <c r="F44" s="156">
        <v>27.48</v>
      </c>
      <c r="G44" s="162">
        <f t="shared" si="17"/>
        <v>27.48</v>
      </c>
      <c r="H44" s="164"/>
      <c r="I44" s="165">
        <f t="shared" si="18"/>
        <v>27.48</v>
      </c>
      <c r="J44" s="165"/>
      <c r="K44" s="165">
        <v>3</v>
      </c>
      <c r="L44" s="165">
        <f t="shared" si="19"/>
        <v>24.48</v>
      </c>
      <c r="M44" s="223">
        <f t="shared" si="22"/>
        <v>9.16</v>
      </c>
      <c r="N44" s="164" t="e">
        <f>E44-#REF!</f>
        <v>#REF!</v>
      </c>
      <c r="O44" s="168" t="e">
        <f>F44-#REF!</f>
        <v>#REF!</v>
      </c>
      <c r="P44" s="167"/>
      <c r="Q44" s="165"/>
      <c r="R44" s="37"/>
      <c r="S44" s="94"/>
      <c r="T44" s="147">
        <f t="shared" si="8"/>
        <v>0</v>
      </c>
    </row>
    <row r="45" spans="1:20" s="6" customFormat="1" ht="30.75">
      <c r="A45" s="8"/>
      <c r="B45" s="148" t="s">
        <v>108</v>
      </c>
      <c r="C45" s="49">
        <v>22010300</v>
      </c>
      <c r="D45" s="150">
        <v>90</v>
      </c>
      <c r="E45" s="150">
        <v>48</v>
      </c>
      <c r="F45" s="156">
        <v>248.37</v>
      </c>
      <c r="G45" s="162">
        <f t="shared" si="17"/>
        <v>200.37</v>
      </c>
      <c r="H45" s="164">
        <f t="shared" si="15"/>
        <v>517.4375</v>
      </c>
      <c r="I45" s="165">
        <f t="shared" si="18"/>
        <v>158.37</v>
      </c>
      <c r="J45" s="165">
        <f t="shared" si="21"/>
        <v>275.9666666666667</v>
      </c>
      <c r="K45" s="165">
        <v>0</v>
      </c>
      <c r="L45" s="165">
        <f t="shared" si="19"/>
        <v>248.37</v>
      </c>
      <c r="M45" s="223"/>
      <c r="N45" s="164" t="e">
        <f>E45-#REF!</f>
        <v>#REF!</v>
      </c>
      <c r="O45" s="168" t="e">
        <f>F45-#REF!</f>
        <v>#REF!</v>
      </c>
      <c r="P45" s="167" t="e">
        <f t="shared" si="20"/>
        <v>#REF!</v>
      </c>
      <c r="Q45" s="165" t="e">
        <f t="shared" si="16"/>
        <v>#REF!</v>
      </c>
      <c r="R45" s="37"/>
      <c r="S45" s="94"/>
      <c r="T45" s="147">
        <f t="shared" si="8"/>
        <v>42</v>
      </c>
    </row>
    <row r="46" spans="1:20" s="6" customFormat="1" ht="18" hidden="1">
      <c r="A46" s="8"/>
      <c r="B46" s="130"/>
      <c r="C46" s="49"/>
      <c r="D46" s="150"/>
      <c r="E46" s="150"/>
      <c r="F46" s="156"/>
      <c r="G46" s="162"/>
      <c r="H46" s="164"/>
      <c r="I46" s="165"/>
      <c r="J46" s="165"/>
      <c r="K46" s="165"/>
      <c r="L46" s="165">
        <f t="shared" si="19"/>
        <v>0</v>
      </c>
      <c r="M46" s="223" t="e">
        <f t="shared" si="22"/>
        <v>#DIV/0!</v>
      </c>
      <c r="N46" s="164" t="e">
        <f>E46-#REF!</f>
        <v>#REF!</v>
      </c>
      <c r="O46" s="168" t="e">
        <f>F46-#REF!</f>
        <v>#REF!</v>
      </c>
      <c r="P46" s="167"/>
      <c r="Q46" s="165"/>
      <c r="R46" s="37"/>
      <c r="S46" s="94"/>
      <c r="T46" s="147">
        <f t="shared" si="8"/>
        <v>0</v>
      </c>
    </row>
    <row r="47" spans="1:20" s="6" customFormat="1" ht="18">
      <c r="A47" s="8"/>
      <c r="B47" s="33" t="s">
        <v>79</v>
      </c>
      <c r="C47" s="72">
        <v>22012500</v>
      </c>
      <c r="D47" s="150">
        <v>9900</v>
      </c>
      <c r="E47" s="150">
        <v>5339.02</v>
      </c>
      <c r="F47" s="156">
        <v>6090.63</v>
      </c>
      <c r="G47" s="162">
        <f t="shared" si="17"/>
        <v>751.6099999999997</v>
      </c>
      <c r="H47" s="164">
        <f t="shared" si="15"/>
        <v>114.07767717671034</v>
      </c>
      <c r="I47" s="165">
        <f t="shared" si="18"/>
        <v>-3809.37</v>
      </c>
      <c r="J47" s="165">
        <f t="shared" si="21"/>
        <v>61.521515151515146</v>
      </c>
      <c r="K47" s="165">
        <v>5937.66</v>
      </c>
      <c r="L47" s="165">
        <f t="shared" si="19"/>
        <v>152.97000000000025</v>
      </c>
      <c r="M47" s="223">
        <f t="shared" si="22"/>
        <v>1.0257626741847798</v>
      </c>
      <c r="N47" s="164" t="e">
        <f>E47-#REF!</f>
        <v>#REF!</v>
      </c>
      <c r="O47" s="168" t="e">
        <f>F47-#REF!</f>
        <v>#REF!</v>
      </c>
      <c r="P47" s="167" t="e">
        <f t="shared" si="20"/>
        <v>#REF!</v>
      </c>
      <c r="Q47" s="165" t="e">
        <f t="shared" si="16"/>
        <v>#REF!</v>
      </c>
      <c r="R47" s="37"/>
      <c r="S47" s="94"/>
      <c r="T47" s="147">
        <f t="shared" si="8"/>
        <v>4560.98</v>
      </c>
    </row>
    <row r="48" spans="1:20" s="6" customFormat="1" ht="31.5">
      <c r="A48" s="8"/>
      <c r="B48" s="149" t="s">
        <v>101</v>
      </c>
      <c r="C48" s="72">
        <v>22012600</v>
      </c>
      <c r="D48" s="150">
        <v>1500</v>
      </c>
      <c r="E48" s="150">
        <f>780-130</f>
        <v>650</v>
      </c>
      <c r="F48" s="156">
        <v>117.39</v>
      </c>
      <c r="G48" s="162">
        <f t="shared" si="17"/>
        <v>-532.61</v>
      </c>
      <c r="H48" s="164">
        <f t="shared" si="15"/>
        <v>18.060000000000002</v>
      </c>
      <c r="I48" s="165">
        <f t="shared" si="18"/>
        <v>-1382.61</v>
      </c>
      <c r="J48" s="165">
        <f t="shared" si="21"/>
        <v>7.826</v>
      </c>
      <c r="K48" s="165">
        <v>0</v>
      </c>
      <c r="L48" s="165">
        <f t="shared" si="19"/>
        <v>117.39</v>
      </c>
      <c r="M48" s="223"/>
      <c r="N48" s="164" t="e">
        <f>E48-#REF!</f>
        <v>#REF!</v>
      </c>
      <c r="O48" s="168" t="e">
        <f>F48-#REF!</f>
        <v>#REF!</v>
      </c>
      <c r="P48" s="167" t="e">
        <f t="shared" si="20"/>
        <v>#REF!</v>
      </c>
      <c r="Q48" s="165" t="e">
        <f t="shared" si="16"/>
        <v>#REF!</v>
      </c>
      <c r="R48" s="37"/>
      <c r="S48" s="94"/>
      <c r="T48" s="147">
        <f t="shared" si="8"/>
        <v>850</v>
      </c>
    </row>
    <row r="49" spans="1:20" s="6" customFormat="1" ht="31.5">
      <c r="A49" s="8"/>
      <c r="B49" s="149" t="s">
        <v>109</v>
      </c>
      <c r="C49" s="72">
        <v>22012900</v>
      </c>
      <c r="D49" s="150">
        <v>50</v>
      </c>
      <c r="E49" s="150">
        <v>24</v>
      </c>
      <c r="F49" s="156">
        <v>8.54</v>
      </c>
      <c r="G49" s="162">
        <f t="shared" si="17"/>
        <v>-15.46</v>
      </c>
      <c r="H49" s="164">
        <f t="shared" si="15"/>
        <v>35.58333333333333</v>
      </c>
      <c r="I49" s="165">
        <f t="shared" si="18"/>
        <v>-41.46</v>
      </c>
      <c r="J49" s="165">
        <f t="shared" si="21"/>
        <v>17.08</v>
      </c>
      <c r="K49" s="165">
        <v>0</v>
      </c>
      <c r="L49" s="165">
        <f t="shared" si="19"/>
        <v>8.54</v>
      </c>
      <c r="M49" s="223"/>
      <c r="N49" s="164" t="e">
        <f>E49-#REF!</f>
        <v>#REF!</v>
      </c>
      <c r="O49" s="168" t="e">
        <f>F49-#REF!</f>
        <v>#REF!</v>
      </c>
      <c r="P49" s="167" t="e">
        <f t="shared" si="20"/>
        <v>#REF!</v>
      </c>
      <c r="Q49" s="165" t="e">
        <f t="shared" si="16"/>
        <v>#REF!</v>
      </c>
      <c r="R49" s="37"/>
      <c r="S49" s="94"/>
      <c r="T49" s="147">
        <f t="shared" si="8"/>
        <v>26</v>
      </c>
    </row>
    <row r="50" spans="1:20" s="6" customFormat="1" ht="30.75">
      <c r="A50" s="8"/>
      <c r="B50" s="130" t="s">
        <v>14</v>
      </c>
      <c r="C50" s="49">
        <v>22080400</v>
      </c>
      <c r="D50" s="150">
        <v>8500</v>
      </c>
      <c r="E50" s="150">
        <v>4616.23</v>
      </c>
      <c r="F50" s="156">
        <v>4498</v>
      </c>
      <c r="G50" s="162">
        <f t="shared" si="17"/>
        <v>-118.22999999999956</v>
      </c>
      <c r="H50" s="164">
        <f t="shared" si="15"/>
        <v>97.43881912296398</v>
      </c>
      <c r="I50" s="165">
        <f t="shared" si="18"/>
        <v>-4002</v>
      </c>
      <c r="J50" s="165">
        <f t="shared" si="21"/>
        <v>52.917647058823526</v>
      </c>
      <c r="K50" s="165">
        <v>5141.74</v>
      </c>
      <c r="L50" s="165">
        <f t="shared" si="19"/>
        <v>-643.7399999999998</v>
      </c>
      <c r="M50" s="223">
        <f t="shared" si="22"/>
        <v>0.8748011373581707</v>
      </c>
      <c r="N50" s="164" t="e">
        <f>E50-#REF!</f>
        <v>#REF!</v>
      </c>
      <c r="O50" s="168" t="e">
        <f>F50-#REF!</f>
        <v>#REF!</v>
      </c>
      <c r="P50" s="167" t="e">
        <f t="shared" si="20"/>
        <v>#REF!</v>
      </c>
      <c r="Q50" s="165" t="e">
        <f t="shared" si="16"/>
        <v>#REF!</v>
      </c>
      <c r="R50" s="37"/>
      <c r="S50" s="94"/>
      <c r="T50" s="147">
        <f t="shared" si="8"/>
        <v>3883.7700000000004</v>
      </c>
    </row>
    <row r="51" spans="1:20" s="6" customFormat="1" ht="18">
      <c r="A51" s="8"/>
      <c r="B51" s="130" t="s">
        <v>15</v>
      </c>
      <c r="C51" s="43">
        <v>22090000</v>
      </c>
      <c r="D51" s="150">
        <v>7300</v>
      </c>
      <c r="E51" s="150">
        <f>3872.19-1</f>
        <v>3871.19</v>
      </c>
      <c r="F51" s="156">
        <v>3724.79</v>
      </c>
      <c r="G51" s="162">
        <f t="shared" si="17"/>
        <v>-146.4000000000001</v>
      </c>
      <c r="H51" s="164">
        <f t="shared" si="15"/>
        <v>96.21821713736603</v>
      </c>
      <c r="I51" s="165">
        <f t="shared" si="18"/>
        <v>-3575.21</v>
      </c>
      <c r="J51" s="165">
        <f t="shared" si="21"/>
        <v>51.02452054794521</v>
      </c>
      <c r="K51" s="165">
        <v>4692.18</v>
      </c>
      <c r="L51" s="165">
        <f t="shared" si="19"/>
        <v>-967.3900000000003</v>
      </c>
      <c r="M51" s="223">
        <f t="shared" si="22"/>
        <v>0.7938293074860725</v>
      </c>
      <c r="N51" s="164" t="e">
        <f>E51-#REF!</f>
        <v>#REF!</v>
      </c>
      <c r="O51" s="168" t="e">
        <f>F51-#REF!</f>
        <v>#REF!</v>
      </c>
      <c r="P51" s="167" t="e">
        <f t="shared" si="20"/>
        <v>#REF!</v>
      </c>
      <c r="Q51" s="165" t="e">
        <f t="shared" si="16"/>
        <v>#REF!</v>
      </c>
      <c r="R51" s="37"/>
      <c r="S51" s="94"/>
      <c r="T51" s="147">
        <f t="shared" si="8"/>
        <v>3428.81</v>
      </c>
    </row>
    <row r="52" spans="1:20" s="6" customFormat="1" ht="15" hidden="1">
      <c r="A52" s="8"/>
      <c r="B52" s="50" t="s">
        <v>99</v>
      </c>
      <c r="C52" s="123">
        <v>22090100</v>
      </c>
      <c r="D52" s="103">
        <v>1100</v>
      </c>
      <c r="E52" s="103">
        <v>643.99</v>
      </c>
      <c r="F52" s="140">
        <v>504.14</v>
      </c>
      <c r="G52" s="34">
        <f t="shared" si="17"/>
        <v>-139.85000000000002</v>
      </c>
      <c r="H52" s="30">
        <f t="shared" si="15"/>
        <v>78.28382428298576</v>
      </c>
      <c r="I52" s="104">
        <f t="shared" si="18"/>
        <v>-595.86</v>
      </c>
      <c r="J52" s="104">
        <f t="shared" si="21"/>
        <v>45.83090909090909</v>
      </c>
      <c r="K52" s="104">
        <v>675.25</v>
      </c>
      <c r="L52" s="104">
        <f>F52-K52</f>
        <v>-171.11</v>
      </c>
      <c r="M52" s="109">
        <f aca="true" t="shared" si="23" ref="M52:M57">F52/K52</f>
        <v>0.7465975564605701</v>
      </c>
      <c r="N52" s="105" t="e">
        <f>E52-#REF!</f>
        <v>#REF!</v>
      </c>
      <c r="O52" s="144" t="e">
        <f>F52-#REF!</f>
        <v>#REF!</v>
      </c>
      <c r="P52" s="106" t="e">
        <f t="shared" si="20"/>
        <v>#REF!</v>
      </c>
      <c r="Q52" s="119" t="e">
        <f t="shared" si="16"/>
        <v>#REF!</v>
      </c>
      <c r="R52" s="37"/>
      <c r="S52" s="94"/>
      <c r="T52" s="147">
        <f t="shared" si="8"/>
        <v>456.01</v>
      </c>
    </row>
    <row r="53" spans="1:20" s="6" customFormat="1" ht="15" hidden="1">
      <c r="A53" s="8"/>
      <c r="B53" s="50" t="s">
        <v>96</v>
      </c>
      <c r="C53" s="123">
        <v>22090200</v>
      </c>
      <c r="D53" s="103">
        <v>45</v>
      </c>
      <c r="E53" s="103">
        <f>6.04-1</f>
        <v>5.04</v>
      </c>
      <c r="F53" s="140">
        <f>0.26</f>
        <v>0.26</v>
      </c>
      <c r="G53" s="34">
        <f t="shared" si="17"/>
        <v>-4.78</v>
      </c>
      <c r="H53" s="30">
        <f t="shared" si="15"/>
        <v>5.158730158730159</v>
      </c>
      <c r="I53" s="104">
        <f t="shared" si="18"/>
        <v>-44.74</v>
      </c>
      <c r="J53" s="104">
        <f t="shared" si="21"/>
        <v>0.5777777777777778</v>
      </c>
      <c r="K53" s="104">
        <v>45.43</v>
      </c>
      <c r="L53" s="104">
        <f>F53-K53</f>
        <v>-45.17</v>
      </c>
      <c r="M53" s="109">
        <f t="shared" si="23"/>
        <v>0.005723090468853181</v>
      </c>
      <c r="N53" s="105" t="e">
        <f>E53-#REF!</f>
        <v>#REF!</v>
      </c>
      <c r="O53" s="144" t="e">
        <f>F53-#REF!</f>
        <v>#REF!</v>
      </c>
      <c r="P53" s="106" t="e">
        <f t="shared" si="20"/>
        <v>#REF!</v>
      </c>
      <c r="Q53" s="119" t="e">
        <f t="shared" si="16"/>
        <v>#REF!</v>
      </c>
      <c r="R53" s="37"/>
      <c r="S53" s="94"/>
      <c r="T53" s="147">
        <f t="shared" si="8"/>
        <v>39.96</v>
      </c>
    </row>
    <row r="54" spans="1:20" s="6" customFormat="1" ht="15" hidden="1">
      <c r="A54" s="8"/>
      <c r="B54" s="50" t="s">
        <v>97</v>
      </c>
      <c r="C54" s="123">
        <v>22090300</v>
      </c>
      <c r="D54" s="103">
        <v>1</v>
      </c>
      <c r="E54" s="103">
        <v>0</v>
      </c>
      <c r="F54" s="140">
        <v>0.02</v>
      </c>
      <c r="G54" s="34">
        <f t="shared" si="17"/>
        <v>0.02</v>
      </c>
      <c r="H54" s="30"/>
      <c r="I54" s="104">
        <f t="shared" si="18"/>
        <v>-0.98</v>
      </c>
      <c r="J54" s="104">
        <f t="shared" si="21"/>
        <v>2</v>
      </c>
      <c r="K54" s="104">
        <v>0.75</v>
      </c>
      <c r="L54" s="104">
        <f>F54-K54</f>
        <v>-0.73</v>
      </c>
      <c r="M54" s="109">
        <f t="shared" si="23"/>
        <v>0.02666666666666667</v>
      </c>
      <c r="N54" s="105" t="e">
        <f>E54-#REF!</f>
        <v>#REF!</v>
      </c>
      <c r="O54" s="144" t="e">
        <f>F54-#REF!</f>
        <v>#REF!</v>
      </c>
      <c r="P54" s="106" t="e">
        <f t="shared" si="20"/>
        <v>#REF!</v>
      </c>
      <c r="Q54" s="119"/>
      <c r="R54" s="37"/>
      <c r="S54" s="94"/>
      <c r="T54" s="147">
        <f t="shared" si="8"/>
        <v>1</v>
      </c>
    </row>
    <row r="55" spans="1:20" s="6" customFormat="1" ht="15" hidden="1">
      <c r="A55" s="8"/>
      <c r="B55" s="50" t="s">
        <v>98</v>
      </c>
      <c r="C55" s="123">
        <v>22090400</v>
      </c>
      <c r="D55" s="103">
        <v>6154</v>
      </c>
      <c r="E55" s="103">
        <v>3222.17</v>
      </c>
      <c r="F55" s="140">
        <v>3220.38</v>
      </c>
      <c r="G55" s="34">
        <f t="shared" si="17"/>
        <v>-1.7899999999999636</v>
      </c>
      <c r="H55" s="30">
        <f t="shared" si="15"/>
        <v>99.94444737552644</v>
      </c>
      <c r="I55" s="104">
        <f t="shared" si="18"/>
        <v>-2933.62</v>
      </c>
      <c r="J55" s="104">
        <f t="shared" si="21"/>
        <v>52.32986675333117</v>
      </c>
      <c r="K55" s="104">
        <v>3970.78</v>
      </c>
      <c r="L55" s="104">
        <f>F55-K55</f>
        <v>-750.4000000000001</v>
      </c>
      <c r="M55" s="109">
        <f t="shared" si="23"/>
        <v>0.8110194974287168</v>
      </c>
      <c r="N55" s="105" t="e">
        <f>E55-#REF!</f>
        <v>#REF!</v>
      </c>
      <c r="O55" s="144" t="e">
        <f>F55-#REF!</f>
        <v>#REF!</v>
      </c>
      <c r="P55" s="106" t="e">
        <f t="shared" si="20"/>
        <v>#REF!</v>
      </c>
      <c r="Q55" s="119" t="e">
        <f t="shared" si="16"/>
        <v>#REF!</v>
      </c>
      <c r="R55" s="37"/>
      <c r="S55" s="94"/>
      <c r="T55" s="147">
        <f t="shared" si="8"/>
        <v>2931.83</v>
      </c>
    </row>
    <row r="56" spans="1:20" s="6" customFormat="1" ht="46.5">
      <c r="A56" s="8"/>
      <c r="B56" s="13" t="s">
        <v>17</v>
      </c>
      <c r="C56" s="11" t="s">
        <v>18</v>
      </c>
      <c r="D56" s="150">
        <v>10</v>
      </c>
      <c r="E56" s="150">
        <v>0.17</v>
      </c>
      <c r="F56" s="156">
        <v>2.46</v>
      </c>
      <c r="G56" s="162">
        <f t="shared" si="17"/>
        <v>2.29</v>
      </c>
      <c r="H56" s="164">
        <f t="shared" si="15"/>
        <v>1447.0588235294117</v>
      </c>
      <c r="I56" s="165">
        <f t="shared" si="18"/>
        <v>-7.54</v>
      </c>
      <c r="J56" s="165">
        <f t="shared" si="21"/>
        <v>24.6</v>
      </c>
      <c r="K56" s="165">
        <v>0</v>
      </c>
      <c r="L56" s="165">
        <f>F56-K56</f>
        <v>2.46</v>
      </c>
      <c r="M56" s="223" t="e">
        <f t="shared" si="23"/>
        <v>#DIV/0!</v>
      </c>
      <c r="N56" s="164" t="e">
        <f>E56-#REF!</f>
        <v>#REF!</v>
      </c>
      <c r="O56" s="168" t="e">
        <f>F56-#REF!</f>
        <v>#REF!</v>
      </c>
      <c r="P56" s="167" t="e">
        <f t="shared" si="20"/>
        <v>#REF!</v>
      </c>
      <c r="Q56" s="165"/>
      <c r="R56" s="37"/>
      <c r="S56" s="94"/>
      <c r="T56" s="147">
        <f t="shared" si="8"/>
        <v>9.83</v>
      </c>
    </row>
    <row r="57" spans="1:20" s="6" customFormat="1" ht="15.75" customHeight="1">
      <c r="A57" s="8"/>
      <c r="B57" s="131" t="s">
        <v>13</v>
      </c>
      <c r="C57" s="11" t="s">
        <v>19</v>
      </c>
      <c r="D57" s="150">
        <v>4800</v>
      </c>
      <c r="E57" s="150">
        <v>2637.98</v>
      </c>
      <c r="F57" s="156">
        <v>4261.9</v>
      </c>
      <c r="G57" s="162">
        <f t="shared" si="17"/>
        <v>1623.9199999999996</v>
      </c>
      <c r="H57" s="164">
        <f t="shared" si="15"/>
        <v>161.55922334513528</v>
      </c>
      <c r="I57" s="165">
        <f t="shared" si="18"/>
        <v>-538.1000000000004</v>
      </c>
      <c r="J57" s="165">
        <f t="shared" si="21"/>
        <v>88.78958333333333</v>
      </c>
      <c r="K57" s="165">
        <v>2611.92</v>
      </c>
      <c r="L57" s="165">
        <f aca="true" t="shared" si="24" ref="L57:L63">F57-K57</f>
        <v>1649.9799999999996</v>
      </c>
      <c r="M57" s="223">
        <f t="shared" si="23"/>
        <v>1.6317115378725227</v>
      </c>
      <c r="N57" s="164" t="e">
        <f>E57-#REF!</f>
        <v>#REF!</v>
      </c>
      <c r="O57" s="168" t="e">
        <f>F57-#REF!</f>
        <v>#REF!</v>
      </c>
      <c r="P57" s="167" t="e">
        <f t="shared" si="20"/>
        <v>#REF!</v>
      </c>
      <c r="Q57" s="165" t="e">
        <f t="shared" si="16"/>
        <v>#REF!</v>
      </c>
      <c r="R57" s="37"/>
      <c r="S57" s="94"/>
      <c r="T57" s="147">
        <f t="shared" si="8"/>
        <v>2162.02</v>
      </c>
    </row>
    <row r="58" spans="1:20" s="6" customFormat="1" ht="18" hidden="1">
      <c r="A58" s="8"/>
      <c r="B58" s="12" t="s">
        <v>22</v>
      </c>
      <c r="C58" s="61" t="s">
        <v>23</v>
      </c>
      <c r="D58" s="31">
        <v>0</v>
      </c>
      <c r="E58" s="31">
        <v>0</v>
      </c>
      <c r="F58" s="139">
        <v>0</v>
      </c>
      <c r="G58" s="162">
        <f t="shared" si="17"/>
        <v>0</v>
      </c>
      <c r="H58" s="164" t="e">
        <f t="shared" si="15"/>
        <v>#DIV/0!</v>
      </c>
      <c r="I58" s="165">
        <f t="shared" si="18"/>
        <v>0</v>
      </c>
      <c r="J58" s="165" t="e">
        <f t="shared" si="21"/>
        <v>#DIV/0!</v>
      </c>
      <c r="K58" s="165"/>
      <c r="L58" s="165">
        <f t="shared" si="24"/>
        <v>0</v>
      </c>
      <c r="M58" s="223" t="e">
        <f aca="true" t="shared" si="25" ref="M58:M63">F58/K58</f>
        <v>#DIV/0!</v>
      </c>
      <c r="N58" s="164" t="e">
        <f>E58-#REF!</f>
        <v>#REF!</v>
      </c>
      <c r="O58" s="168" t="e">
        <f>F58-#REF!</f>
        <v>#REF!</v>
      </c>
      <c r="P58" s="167" t="e">
        <f t="shared" si="20"/>
        <v>#REF!</v>
      </c>
      <c r="Q58" s="165" t="e">
        <f t="shared" si="16"/>
        <v>#REF!</v>
      </c>
      <c r="R58" s="37"/>
      <c r="S58" s="94"/>
      <c r="T58" s="147">
        <f t="shared" si="8"/>
        <v>0</v>
      </c>
    </row>
    <row r="59" spans="1:20" s="6" customFormat="1" ht="30.75">
      <c r="A59" s="8"/>
      <c r="B59" s="50" t="s">
        <v>42</v>
      </c>
      <c r="C59" s="61"/>
      <c r="D59" s="103"/>
      <c r="E59" s="103"/>
      <c r="F59" s="203">
        <v>730.88</v>
      </c>
      <c r="G59" s="162"/>
      <c r="H59" s="164"/>
      <c r="I59" s="165"/>
      <c r="J59" s="165"/>
      <c r="K59" s="166">
        <v>683.21</v>
      </c>
      <c r="L59" s="165">
        <f t="shared" si="24"/>
        <v>47.66999999999996</v>
      </c>
      <c r="M59" s="223">
        <f t="shared" si="25"/>
        <v>1.0697735688880432</v>
      </c>
      <c r="N59" s="195"/>
      <c r="O59" s="179" t="e">
        <f>F59-#REF!</f>
        <v>#REF!</v>
      </c>
      <c r="P59" s="166"/>
      <c r="Q59" s="165"/>
      <c r="R59" s="37"/>
      <c r="S59" s="94"/>
      <c r="T59" s="147">
        <f t="shared" si="8"/>
        <v>0</v>
      </c>
    </row>
    <row r="60" spans="1:20" s="6" customFormat="1" ht="18" hidden="1">
      <c r="A60" s="8"/>
      <c r="B60" s="131" t="s">
        <v>20</v>
      </c>
      <c r="C60" s="128" t="s">
        <v>21</v>
      </c>
      <c r="D60" s="34">
        <v>0</v>
      </c>
      <c r="E60" s="34">
        <v>0</v>
      </c>
      <c r="F60" s="141">
        <v>0</v>
      </c>
      <c r="G60" s="162">
        <f t="shared" si="17"/>
        <v>0</v>
      </c>
      <c r="H60" s="164"/>
      <c r="I60" s="165">
        <f t="shared" si="18"/>
        <v>0</v>
      </c>
      <c r="J60" s="165"/>
      <c r="K60" s="166"/>
      <c r="L60" s="165">
        <f t="shared" si="24"/>
        <v>0</v>
      </c>
      <c r="M60" s="223" t="e">
        <f t="shared" si="25"/>
        <v>#DIV/0!</v>
      </c>
      <c r="N60" s="164" t="e">
        <f>E60-#REF!</f>
        <v>#REF!</v>
      </c>
      <c r="O60" s="168" t="e">
        <f>F60-#REF!</f>
        <v>#REF!</v>
      </c>
      <c r="P60" s="167" t="e">
        <f t="shared" si="20"/>
        <v>#REF!</v>
      </c>
      <c r="Q60" s="165"/>
      <c r="R60" s="37"/>
      <c r="S60" s="94"/>
      <c r="T60" s="147">
        <f t="shared" si="8"/>
        <v>0</v>
      </c>
    </row>
    <row r="61" spans="1:20" s="6" customFormat="1" ht="44.25" customHeight="1">
      <c r="A61" s="8"/>
      <c r="B61" s="131" t="s">
        <v>43</v>
      </c>
      <c r="C61" s="43">
        <v>24061900</v>
      </c>
      <c r="D61" s="150">
        <v>20</v>
      </c>
      <c r="E61" s="150">
        <v>20</v>
      </c>
      <c r="F61" s="156">
        <v>78.18</v>
      </c>
      <c r="G61" s="162">
        <f t="shared" si="17"/>
        <v>58.18000000000001</v>
      </c>
      <c r="H61" s="164">
        <f t="shared" si="15"/>
        <v>390.90000000000003</v>
      </c>
      <c r="I61" s="165">
        <f t="shared" si="18"/>
        <v>58.18000000000001</v>
      </c>
      <c r="J61" s="165">
        <f t="shared" si="21"/>
        <v>390.90000000000003</v>
      </c>
      <c r="K61" s="165">
        <v>0.6</v>
      </c>
      <c r="L61" s="165">
        <f t="shared" si="24"/>
        <v>77.58000000000001</v>
      </c>
      <c r="M61" s="223">
        <f t="shared" si="25"/>
        <v>130.3</v>
      </c>
      <c r="N61" s="164" t="e">
        <f>E61-#REF!</f>
        <v>#REF!</v>
      </c>
      <c r="O61" s="168" t="e">
        <f>F61-#REF!</f>
        <v>#REF!</v>
      </c>
      <c r="P61" s="167" t="e">
        <f t="shared" si="20"/>
        <v>#REF!</v>
      </c>
      <c r="Q61" s="165"/>
      <c r="R61" s="37"/>
      <c r="S61" s="94"/>
      <c r="T61" s="147">
        <f t="shared" si="8"/>
        <v>0</v>
      </c>
    </row>
    <row r="62" spans="1:20" s="6" customFormat="1" ht="18">
      <c r="A62" s="8"/>
      <c r="B62" s="12" t="s">
        <v>44</v>
      </c>
      <c r="C62" s="43">
        <v>31010200</v>
      </c>
      <c r="D62" s="150">
        <v>30</v>
      </c>
      <c r="E62" s="150">
        <v>14.5</v>
      </c>
      <c r="F62" s="156">
        <v>13.52</v>
      </c>
      <c r="G62" s="162">
        <f t="shared" si="17"/>
        <v>-0.9800000000000004</v>
      </c>
      <c r="H62" s="164">
        <f t="shared" si="15"/>
        <v>93.24137931034483</v>
      </c>
      <c r="I62" s="165">
        <f t="shared" si="18"/>
        <v>-16.48</v>
      </c>
      <c r="J62" s="165">
        <f t="shared" si="21"/>
        <v>45.06666666666666</v>
      </c>
      <c r="K62" s="165">
        <v>14.42</v>
      </c>
      <c r="L62" s="165">
        <f t="shared" si="24"/>
        <v>-0.9000000000000004</v>
      </c>
      <c r="M62" s="223">
        <f t="shared" si="25"/>
        <v>0.9375866851595007</v>
      </c>
      <c r="N62" s="164" t="e">
        <f>E62-#REF!</f>
        <v>#REF!</v>
      </c>
      <c r="O62" s="168" t="e">
        <f>F62-#REF!</f>
        <v>#REF!</v>
      </c>
      <c r="P62" s="167" t="e">
        <f t="shared" si="20"/>
        <v>#REF!</v>
      </c>
      <c r="Q62" s="165" t="e">
        <f t="shared" si="16"/>
        <v>#REF!</v>
      </c>
      <c r="R62" s="37"/>
      <c r="S62" s="94"/>
      <c r="T62" s="147">
        <f t="shared" si="8"/>
        <v>15.5</v>
      </c>
    </row>
    <row r="63" spans="1:20" s="6" customFormat="1" ht="30.75">
      <c r="A63" s="8"/>
      <c r="B63" s="12" t="s">
        <v>57</v>
      </c>
      <c r="C63" s="43">
        <v>31020000</v>
      </c>
      <c r="D63" s="150">
        <v>0.6</v>
      </c>
      <c r="E63" s="150">
        <v>0</v>
      </c>
      <c r="F63" s="156">
        <v>1.02</v>
      </c>
      <c r="G63" s="162">
        <f t="shared" si="17"/>
        <v>1.02</v>
      </c>
      <c r="H63" s="164"/>
      <c r="I63" s="165">
        <f t="shared" si="18"/>
        <v>0.42000000000000004</v>
      </c>
      <c r="J63" s="165"/>
      <c r="K63" s="165">
        <v>0.1</v>
      </c>
      <c r="L63" s="165">
        <f t="shared" si="24"/>
        <v>0.92</v>
      </c>
      <c r="M63" s="223">
        <f t="shared" si="25"/>
        <v>10.2</v>
      </c>
      <c r="N63" s="164" t="e">
        <f>E63-#REF!</f>
        <v>#REF!</v>
      </c>
      <c r="O63" s="168" t="e">
        <f>F63-#REF!</f>
        <v>#REF!</v>
      </c>
      <c r="P63" s="167" t="e">
        <f t="shared" si="20"/>
        <v>#REF!</v>
      </c>
      <c r="Q63" s="165"/>
      <c r="R63" s="37"/>
      <c r="S63" s="94"/>
      <c r="T63" s="147">
        <f t="shared" si="8"/>
        <v>0.6</v>
      </c>
    </row>
    <row r="64" spans="1:21" s="6" customFormat="1" ht="18">
      <c r="A64" s="9"/>
      <c r="B64" s="14" t="s">
        <v>28</v>
      </c>
      <c r="C64" s="62"/>
      <c r="D64" s="151">
        <f>D8+D38+D62+D63</f>
        <v>883900.6</v>
      </c>
      <c r="E64" s="151">
        <f>E8+E38+E62+E63</f>
        <v>523960.81</v>
      </c>
      <c r="F64" s="151">
        <f>F8+F38+F62+F63</f>
        <v>580607.7800000001</v>
      </c>
      <c r="G64" s="151">
        <f>F64-E64</f>
        <v>56646.97000000015</v>
      </c>
      <c r="H64" s="152">
        <f>F64/E64*100</f>
        <v>110.81129903589549</v>
      </c>
      <c r="I64" s="153">
        <f>F64-D64</f>
        <v>-303292.81999999983</v>
      </c>
      <c r="J64" s="153">
        <f>F64/D64*100</f>
        <v>65.6869991942533</v>
      </c>
      <c r="K64" s="153">
        <v>385611.99</v>
      </c>
      <c r="L64" s="153">
        <f>F64-K64</f>
        <v>194995.79000000015</v>
      </c>
      <c r="M64" s="224">
        <f>F64/K64</f>
        <v>1.505678752364521</v>
      </c>
      <c r="N64" s="151" t="e">
        <f>N8+N38+N62+N63</f>
        <v>#REF!</v>
      </c>
      <c r="O64" s="151" t="e">
        <f>O8+O38+O62+O63</f>
        <v>#REF!</v>
      </c>
      <c r="P64" s="155" t="e">
        <f>O64-N64</f>
        <v>#REF!</v>
      </c>
      <c r="Q64" s="153" t="e">
        <f>O64/N64*100</f>
        <v>#REF!</v>
      </c>
      <c r="R64" s="27" t="e">
        <f>O64-34768</f>
        <v>#REF!</v>
      </c>
      <c r="S64" s="115" t="e">
        <f>O64/34768</f>
        <v>#REF!</v>
      </c>
      <c r="T64" s="147">
        <f t="shared" si="8"/>
        <v>359939.79</v>
      </c>
      <c r="U64" s="132"/>
    </row>
    <row r="65" spans="1:20" s="48" customFormat="1" ht="17.25" hidden="1">
      <c r="A65" s="45"/>
      <c r="B65" s="55"/>
      <c r="C65" s="63"/>
      <c r="D65" s="46"/>
      <c r="E65" s="46"/>
      <c r="F65" s="82"/>
      <c r="G65" s="77"/>
      <c r="H65" s="47"/>
      <c r="I65" s="54"/>
      <c r="J65" s="35"/>
      <c r="K65" s="35"/>
      <c r="L65" s="35"/>
      <c r="M65" s="35"/>
      <c r="N65" s="47"/>
      <c r="O65" s="46"/>
      <c r="P65" s="79"/>
      <c r="Q65" s="35"/>
      <c r="R65" s="35"/>
      <c r="S65" s="96"/>
      <c r="T65" s="147">
        <f t="shared" si="8"/>
        <v>0</v>
      </c>
    </row>
    <row r="66" spans="1:20" s="48" customFormat="1" ht="17.25" hidden="1">
      <c r="A66" s="45"/>
      <c r="B66" s="56"/>
      <c r="C66" s="63"/>
      <c r="D66" s="57"/>
      <c r="E66" s="46"/>
      <c r="F66" s="82"/>
      <c r="G66" s="40"/>
      <c r="H66" s="47"/>
      <c r="I66" s="58"/>
      <c r="J66" s="35"/>
      <c r="K66" s="35"/>
      <c r="L66" s="35"/>
      <c r="M66" s="35"/>
      <c r="N66" s="30"/>
      <c r="O66" s="46"/>
      <c r="P66" s="59"/>
      <c r="Q66" s="35"/>
      <c r="R66" s="35"/>
      <c r="S66" s="96"/>
      <c r="T66" s="147">
        <f t="shared" si="8"/>
        <v>0</v>
      </c>
    </row>
    <row r="67" spans="1:20" s="48" customFormat="1" ht="17.25" hidden="1">
      <c r="A67" s="45"/>
      <c r="B67" s="56"/>
      <c r="C67" s="63"/>
      <c r="D67" s="57"/>
      <c r="E67" s="34"/>
      <c r="F67" s="111"/>
      <c r="G67" s="40"/>
      <c r="H67" s="47"/>
      <c r="I67" s="58"/>
      <c r="J67" s="35"/>
      <c r="K67" s="35"/>
      <c r="L67" s="35"/>
      <c r="M67" s="35"/>
      <c r="N67" s="30"/>
      <c r="O67" s="57"/>
      <c r="P67" s="79"/>
      <c r="Q67" s="35"/>
      <c r="R67" s="35"/>
      <c r="S67" s="96"/>
      <c r="T67" s="147">
        <f t="shared" si="8"/>
        <v>0</v>
      </c>
    </row>
    <row r="68" spans="2:20" ht="15">
      <c r="B68" s="22" t="s">
        <v>111</v>
      </c>
      <c r="C68" s="64"/>
      <c r="D68" s="24"/>
      <c r="E68" s="24"/>
      <c r="F68" s="142"/>
      <c r="G68" s="34"/>
      <c r="H68" s="30"/>
      <c r="I68" s="38"/>
      <c r="J68" s="38"/>
      <c r="K68" s="38"/>
      <c r="L68" s="38"/>
      <c r="M68" s="38"/>
      <c r="N68" s="31"/>
      <c r="O68" s="146"/>
      <c r="P68" s="36"/>
      <c r="Q68" s="38"/>
      <c r="R68" s="38"/>
      <c r="S68" s="97"/>
      <c r="T68" s="147">
        <f t="shared" si="8"/>
        <v>0</v>
      </c>
    </row>
    <row r="69" spans="2:20" ht="25.5" customHeight="1">
      <c r="B69" s="134" t="s">
        <v>102</v>
      </c>
      <c r="C69" s="135">
        <v>12020000</v>
      </c>
      <c r="D69" s="180">
        <v>0</v>
      </c>
      <c r="E69" s="180"/>
      <c r="F69" s="181">
        <v>0.01</v>
      </c>
      <c r="G69" s="162"/>
      <c r="H69" s="164"/>
      <c r="I69" s="167"/>
      <c r="J69" s="167"/>
      <c r="K69" s="167">
        <f>F69-0</f>
        <v>0.01</v>
      </c>
      <c r="L69" s="167">
        <f>F69-K69</f>
        <v>0</v>
      </c>
      <c r="M69" s="211">
        <f>F69/K69</f>
        <v>1</v>
      </c>
      <c r="N69" s="162"/>
      <c r="O69" s="182" t="e">
        <f>F69-#REF!</f>
        <v>#REF!</v>
      </c>
      <c r="P69" s="167"/>
      <c r="Q69" s="167"/>
      <c r="R69" s="38"/>
      <c r="S69" s="97"/>
      <c r="T69" s="147">
        <f t="shared" si="8"/>
        <v>0</v>
      </c>
    </row>
    <row r="70" spans="2:20" ht="31.5">
      <c r="B70" s="23" t="s">
        <v>62</v>
      </c>
      <c r="C70" s="73">
        <v>18041500</v>
      </c>
      <c r="D70" s="180">
        <v>0</v>
      </c>
      <c r="E70" s="180"/>
      <c r="F70" s="181">
        <v>-2.3</v>
      </c>
      <c r="G70" s="162">
        <f>F70-E70</f>
        <v>-2.3</v>
      </c>
      <c r="H70" s="164"/>
      <c r="I70" s="167">
        <f>F70-D70</f>
        <v>-2.3</v>
      </c>
      <c r="J70" s="167"/>
      <c r="K70" s="167">
        <v>-49.19</v>
      </c>
      <c r="L70" s="167">
        <f>F70-K70</f>
        <v>46.89</v>
      </c>
      <c r="M70" s="211">
        <f>F70/K70</f>
        <v>0.046757471030697294</v>
      </c>
      <c r="N70" s="164"/>
      <c r="O70" s="182" t="e">
        <f>F70-#REF!</f>
        <v>#REF!</v>
      </c>
      <c r="P70" s="167" t="e">
        <f>O70-N70</f>
        <v>#REF!</v>
      </c>
      <c r="Q70" s="167"/>
      <c r="R70" s="38"/>
      <c r="S70" s="97"/>
      <c r="T70" s="147">
        <f t="shared" si="8"/>
        <v>0</v>
      </c>
    </row>
    <row r="71" spans="2:20" ht="17.25">
      <c r="B71" s="28" t="s">
        <v>45</v>
      </c>
      <c r="C71" s="74"/>
      <c r="D71" s="183">
        <f>D70</f>
        <v>0</v>
      </c>
      <c r="E71" s="183">
        <f>E70</f>
        <v>0</v>
      </c>
      <c r="F71" s="184">
        <f>SUM(F69:F70)</f>
        <v>-2.29</v>
      </c>
      <c r="G71" s="185">
        <f>F71-E71</f>
        <v>-2.29</v>
      </c>
      <c r="H71" s="186"/>
      <c r="I71" s="187">
        <f>F71-D71</f>
        <v>-2.29</v>
      </c>
      <c r="J71" s="187"/>
      <c r="K71" s="187">
        <v>-49.19</v>
      </c>
      <c r="L71" s="187">
        <f>F71-K71</f>
        <v>46.9</v>
      </c>
      <c r="M71" s="217">
        <f>F71/K71</f>
        <v>0.04655417767838992</v>
      </c>
      <c r="N71" s="185">
        <f>N70</f>
        <v>0</v>
      </c>
      <c r="O71" s="188" t="e">
        <f>SUM(O69:O70)</f>
        <v>#REF!</v>
      </c>
      <c r="P71" s="187" t="e">
        <f>O71-N71</f>
        <v>#REF!</v>
      </c>
      <c r="Q71" s="187"/>
      <c r="R71" s="39"/>
      <c r="S71" s="98"/>
      <c r="T71" s="147">
        <f t="shared" si="8"/>
        <v>0</v>
      </c>
    </row>
    <row r="72" spans="2:20" ht="46.5" hidden="1">
      <c r="B72" s="23" t="s">
        <v>37</v>
      </c>
      <c r="C72" s="74">
        <v>21110000</v>
      </c>
      <c r="D72" s="180">
        <v>0</v>
      </c>
      <c r="E72" s="180"/>
      <c r="F72" s="181">
        <v>0</v>
      </c>
      <c r="G72" s="162" t="e">
        <f>#N/A</f>
        <v>#N/A</v>
      </c>
      <c r="H72" s="164" t="e">
        <f>F72/E72*100</f>
        <v>#DIV/0!</v>
      </c>
      <c r="I72" s="167" t="e">
        <f>#N/A</f>
        <v>#N/A</v>
      </c>
      <c r="J72" s="167" t="e">
        <f>#N/A</f>
        <v>#N/A</v>
      </c>
      <c r="K72" s="167"/>
      <c r="L72" s="167"/>
      <c r="M72" s="167"/>
      <c r="N72" s="162">
        <v>0</v>
      </c>
      <c r="O72" s="182">
        <f>F72</f>
        <v>0</v>
      </c>
      <c r="P72" s="167" t="e">
        <f>#N/A</f>
        <v>#N/A</v>
      </c>
      <c r="Q72" s="167"/>
      <c r="R72" s="38"/>
      <c r="S72" s="97"/>
      <c r="T72" s="147">
        <f t="shared" si="8"/>
        <v>0</v>
      </c>
    </row>
    <row r="73" spans="2:20" ht="31.5">
      <c r="B73" s="23" t="s">
        <v>29</v>
      </c>
      <c r="C73" s="73">
        <v>31030000</v>
      </c>
      <c r="D73" s="180">
        <v>4200</v>
      </c>
      <c r="E73" s="180">
        <v>1800</v>
      </c>
      <c r="F73" s="181">
        <v>1535.06</v>
      </c>
      <c r="G73" s="162">
        <f aca="true" t="shared" si="26" ref="G73:G83">F73-E73</f>
        <v>-264.94000000000005</v>
      </c>
      <c r="H73" s="164"/>
      <c r="I73" s="167">
        <f aca="true" t="shared" si="27" ref="I73:I83">F73-D73</f>
        <v>-2664.94</v>
      </c>
      <c r="J73" s="167">
        <f>F73/D73*100</f>
        <v>36.54904761904762</v>
      </c>
      <c r="K73" s="167">
        <v>592.98</v>
      </c>
      <c r="L73" s="167">
        <f aca="true" t="shared" si="28" ref="L73:L83">F73-K73</f>
        <v>942.0799999999999</v>
      </c>
      <c r="M73" s="211">
        <f>F73/K73</f>
        <v>2.588721373402138</v>
      </c>
      <c r="N73" s="164" t="e">
        <f>E73-#REF!</f>
        <v>#REF!</v>
      </c>
      <c r="O73" s="168" t="e">
        <f>F73-#REF!</f>
        <v>#REF!</v>
      </c>
      <c r="P73" s="167" t="e">
        <f aca="true" t="shared" si="29" ref="P73:P86">O73-N73</f>
        <v>#REF!</v>
      </c>
      <c r="Q73" s="167" t="e">
        <f>O73/N73*100</f>
        <v>#REF!</v>
      </c>
      <c r="R73" s="38"/>
      <c r="S73" s="97"/>
      <c r="T73" s="147">
        <f t="shared" si="8"/>
        <v>2400</v>
      </c>
    </row>
    <row r="74" spans="2:20" ht="18">
      <c r="B74" s="23" t="s">
        <v>30</v>
      </c>
      <c r="C74" s="73">
        <v>33010000</v>
      </c>
      <c r="D74" s="180">
        <v>7459</v>
      </c>
      <c r="E74" s="180">
        <v>3327.31</v>
      </c>
      <c r="F74" s="181">
        <v>6751.5</v>
      </c>
      <c r="G74" s="162">
        <f t="shared" si="26"/>
        <v>3424.19</v>
      </c>
      <c r="H74" s="164">
        <f>F74/E74*100</f>
        <v>202.91166137209936</v>
      </c>
      <c r="I74" s="167">
        <f t="shared" si="27"/>
        <v>-707.5</v>
      </c>
      <c r="J74" s="167">
        <f>F74/D74*100</f>
        <v>90.51481431827322</v>
      </c>
      <c r="K74" s="167">
        <v>3579.75</v>
      </c>
      <c r="L74" s="167">
        <f t="shared" si="28"/>
        <v>3171.75</v>
      </c>
      <c r="M74" s="211">
        <f>F74/K74</f>
        <v>1.8860255604441651</v>
      </c>
      <c r="N74" s="164" t="e">
        <f>E74-#REF!</f>
        <v>#REF!</v>
      </c>
      <c r="O74" s="168" t="e">
        <f>F74-#REF!</f>
        <v>#REF!</v>
      </c>
      <c r="P74" s="167" t="e">
        <f t="shared" si="29"/>
        <v>#REF!</v>
      </c>
      <c r="Q74" s="167" t="e">
        <f>O74/N74*100</f>
        <v>#REF!</v>
      </c>
      <c r="R74" s="38"/>
      <c r="S74" s="97"/>
      <c r="T74" s="147">
        <f aca="true" t="shared" si="30" ref="T74:T90">D74-E74</f>
        <v>4131.6900000000005</v>
      </c>
    </row>
    <row r="75" spans="2:20" ht="31.5">
      <c r="B75" s="23" t="s">
        <v>54</v>
      </c>
      <c r="C75" s="73">
        <v>24170000</v>
      </c>
      <c r="D75" s="180">
        <v>6000</v>
      </c>
      <c r="E75" s="180">
        <v>2094.85</v>
      </c>
      <c r="F75" s="181">
        <v>9509.69</v>
      </c>
      <c r="G75" s="162">
        <f t="shared" si="26"/>
        <v>7414.84</v>
      </c>
      <c r="H75" s="164">
        <f>F75/E75*100</f>
        <v>453.95565314939023</v>
      </c>
      <c r="I75" s="167">
        <f t="shared" si="27"/>
        <v>3509.6900000000005</v>
      </c>
      <c r="J75" s="167">
        <f>F75/D75*100</f>
        <v>158.49483333333333</v>
      </c>
      <c r="K75" s="167">
        <v>1818.64</v>
      </c>
      <c r="L75" s="167">
        <f t="shared" si="28"/>
        <v>7691.05</v>
      </c>
      <c r="M75" s="211">
        <f>F75/K75</f>
        <v>5.2290117890291645</v>
      </c>
      <c r="N75" s="164" t="e">
        <f>E75-#REF!</f>
        <v>#REF!</v>
      </c>
      <c r="O75" s="168" t="e">
        <f>F75-#REF!</f>
        <v>#REF!</v>
      </c>
      <c r="P75" s="167" t="e">
        <f t="shared" si="29"/>
        <v>#REF!</v>
      </c>
      <c r="Q75" s="167" t="e">
        <f>O75/N75*100</f>
        <v>#REF!</v>
      </c>
      <c r="R75" s="38"/>
      <c r="S75" s="97"/>
      <c r="T75" s="147">
        <f t="shared" si="30"/>
        <v>3905.15</v>
      </c>
    </row>
    <row r="76" spans="2:20" ht="18">
      <c r="B76" s="23" t="s">
        <v>103</v>
      </c>
      <c r="C76" s="73">
        <v>24110700</v>
      </c>
      <c r="D76" s="180">
        <v>12</v>
      </c>
      <c r="E76" s="180">
        <v>7</v>
      </c>
      <c r="F76" s="181">
        <v>6</v>
      </c>
      <c r="G76" s="162">
        <f t="shared" si="26"/>
        <v>-1</v>
      </c>
      <c r="H76" s="164">
        <f>F76/E76*100</f>
        <v>85.71428571428571</v>
      </c>
      <c r="I76" s="167">
        <f t="shared" si="27"/>
        <v>-6</v>
      </c>
      <c r="J76" s="167">
        <f>F76/D76*100</f>
        <v>50</v>
      </c>
      <c r="K76" s="167">
        <v>0</v>
      </c>
      <c r="L76" s="167">
        <f t="shared" si="28"/>
        <v>6</v>
      </c>
      <c r="M76" s="211"/>
      <c r="N76" s="164" t="e">
        <f>E76-#REF!</f>
        <v>#REF!</v>
      </c>
      <c r="O76" s="168" t="e">
        <f>F76-#REF!</f>
        <v>#REF!</v>
      </c>
      <c r="P76" s="167" t="e">
        <f t="shared" si="29"/>
        <v>#REF!</v>
      </c>
      <c r="Q76" s="167" t="e">
        <f>O76/N76*100</f>
        <v>#REF!</v>
      </c>
      <c r="R76" s="38"/>
      <c r="S76" s="136"/>
      <c r="T76" s="147">
        <f t="shared" si="30"/>
        <v>5</v>
      </c>
    </row>
    <row r="77" spans="2:20" ht="33">
      <c r="B77" s="28" t="s">
        <v>51</v>
      </c>
      <c r="C77" s="65"/>
      <c r="D77" s="183">
        <f>D73+D74+D75+D76</f>
        <v>17671</v>
      </c>
      <c r="E77" s="183">
        <f>E73+E74+E75+E76</f>
        <v>7229.16</v>
      </c>
      <c r="F77" s="184">
        <f>F73+F74+F75+F76</f>
        <v>17802.25</v>
      </c>
      <c r="G77" s="185">
        <f t="shared" si="26"/>
        <v>10573.09</v>
      </c>
      <c r="H77" s="186">
        <f>F77/E77*100</f>
        <v>246.2561348759745</v>
      </c>
      <c r="I77" s="187">
        <f t="shared" si="27"/>
        <v>131.25</v>
      </c>
      <c r="J77" s="187">
        <f>F77/D77*100</f>
        <v>100.74274234621696</v>
      </c>
      <c r="K77" s="187">
        <v>5991.37</v>
      </c>
      <c r="L77" s="187">
        <f t="shared" si="28"/>
        <v>11810.880000000001</v>
      </c>
      <c r="M77" s="217">
        <f>F77/K77</f>
        <v>2.9713154086627935</v>
      </c>
      <c r="N77" s="185" t="e">
        <f>N73+N74+N75+N76</f>
        <v>#REF!</v>
      </c>
      <c r="O77" s="189" t="e">
        <f>O73+O74+O75+O76</f>
        <v>#REF!</v>
      </c>
      <c r="P77" s="187" t="e">
        <f t="shared" si="29"/>
        <v>#REF!</v>
      </c>
      <c r="Q77" s="187" t="e">
        <f>O77/N77*100</f>
        <v>#REF!</v>
      </c>
      <c r="R77" s="39"/>
      <c r="S77" s="116"/>
      <c r="T77" s="147">
        <f t="shared" si="30"/>
        <v>10441.84</v>
      </c>
    </row>
    <row r="78" spans="2:20" ht="46.5">
      <c r="B78" s="12" t="s">
        <v>40</v>
      </c>
      <c r="C78" s="75">
        <v>24062100</v>
      </c>
      <c r="D78" s="180">
        <v>1</v>
      </c>
      <c r="E78" s="180">
        <v>0</v>
      </c>
      <c r="F78" s="181">
        <v>5.21</v>
      </c>
      <c r="G78" s="162">
        <f t="shared" si="26"/>
        <v>5.21</v>
      </c>
      <c r="H78" s="164"/>
      <c r="I78" s="167">
        <f t="shared" si="27"/>
        <v>4.21</v>
      </c>
      <c r="J78" s="167"/>
      <c r="K78" s="167">
        <v>0.09</v>
      </c>
      <c r="L78" s="167">
        <f t="shared" si="28"/>
        <v>5.12</v>
      </c>
      <c r="M78" s="211">
        <f>F78/K78</f>
        <v>57.88888888888889</v>
      </c>
      <c r="N78" s="164" t="e">
        <f>E78-#REF!</f>
        <v>#REF!</v>
      </c>
      <c r="O78" s="168" t="e">
        <f>F78-#REF!</f>
        <v>#REF!</v>
      </c>
      <c r="P78" s="167" t="e">
        <f t="shared" si="29"/>
        <v>#REF!</v>
      </c>
      <c r="Q78" s="167"/>
      <c r="R78" s="38"/>
      <c r="S78" s="97"/>
      <c r="T78" s="147">
        <f t="shared" si="30"/>
        <v>1</v>
      </c>
    </row>
    <row r="79" spans="2:20" ht="18" hidden="1">
      <c r="B79" s="23" t="s">
        <v>52</v>
      </c>
      <c r="C79" s="73">
        <v>24061600</v>
      </c>
      <c r="D79" s="180">
        <v>0</v>
      </c>
      <c r="E79" s="180">
        <v>0</v>
      </c>
      <c r="F79" s="181">
        <v>0</v>
      </c>
      <c r="G79" s="162">
        <f t="shared" si="26"/>
        <v>0</v>
      </c>
      <c r="H79" s="164"/>
      <c r="I79" s="167">
        <f t="shared" si="27"/>
        <v>0</v>
      </c>
      <c r="J79" s="190"/>
      <c r="K79" s="167">
        <f>F79-0</f>
        <v>0</v>
      </c>
      <c r="L79" s="167">
        <f t="shared" si="28"/>
        <v>0</v>
      </c>
      <c r="M79" s="211" t="e">
        <f>F79/K79</f>
        <v>#DIV/0!</v>
      </c>
      <c r="N79" s="164" t="e">
        <f>E79-#REF!</f>
        <v>#REF!</v>
      </c>
      <c r="O79" s="168" t="e">
        <f>F79-#REF!</f>
        <v>#REF!</v>
      </c>
      <c r="P79" s="167" t="e">
        <f t="shared" si="29"/>
        <v>#REF!</v>
      </c>
      <c r="Q79" s="190"/>
      <c r="R79" s="41"/>
      <c r="S79" s="99"/>
      <c r="T79" s="147">
        <f t="shared" si="30"/>
        <v>0</v>
      </c>
    </row>
    <row r="80" spans="2:20" ht="18">
      <c r="B80" s="23" t="s">
        <v>46</v>
      </c>
      <c r="C80" s="73">
        <v>19010000</v>
      </c>
      <c r="D80" s="180">
        <v>9500</v>
      </c>
      <c r="E80" s="180">
        <v>5127.3</v>
      </c>
      <c r="F80" s="181">
        <v>4902.34</v>
      </c>
      <c r="G80" s="162">
        <f t="shared" si="26"/>
        <v>-224.96000000000004</v>
      </c>
      <c r="H80" s="164">
        <f>F80/E80*100</f>
        <v>95.61250560723967</v>
      </c>
      <c r="I80" s="167">
        <f t="shared" si="27"/>
        <v>-4597.66</v>
      </c>
      <c r="J80" s="167">
        <f>F80/D80*100</f>
        <v>51.60357894736842</v>
      </c>
      <c r="K80" s="167">
        <v>0</v>
      </c>
      <c r="L80" s="167">
        <f t="shared" si="28"/>
        <v>4902.34</v>
      </c>
      <c r="M80" s="211"/>
      <c r="N80" s="164" t="e">
        <f>E80-#REF!</f>
        <v>#REF!</v>
      </c>
      <c r="O80" s="168" t="e">
        <f>F80-#REF!</f>
        <v>#REF!</v>
      </c>
      <c r="P80" s="167" t="e">
        <f>O80-N80</f>
        <v>#REF!</v>
      </c>
      <c r="Q80" s="190" t="e">
        <f>O80/N80*100</f>
        <v>#REF!</v>
      </c>
      <c r="R80" s="41"/>
      <c r="S80" s="99"/>
      <c r="T80" s="147">
        <f t="shared" si="30"/>
        <v>4372.7</v>
      </c>
    </row>
    <row r="81" spans="2:20" ht="31.5">
      <c r="B81" s="23" t="s">
        <v>50</v>
      </c>
      <c r="C81" s="73">
        <v>19050000</v>
      </c>
      <c r="D81" s="180">
        <v>0</v>
      </c>
      <c r="E81" s="180"/>
      <c r="F81" s="181">
        <v>0.92</v>
      </c>
      <c r="G81" s="162">
        <f t="shared" si="26"/>
        <v>0.92</v>
      </c>
      <c r="H81" s="164"/>
      <c r="I81" s="167">
        <f t="shared" si="27"/>
        <v>0.92</v>
      </c>
      <c r="J81" s="167"/>
      <c r="K81" s="167">
        <v>0.72</v>
      </c>
      <c r="L81" s="167">
        <f t="shared" si="28"/>
        <v>0.20000000000000007</v>
      </c>
      <c r="M81" s="211">
        <f>F81/K81</f>
        <v>1.277777777777778</v>
      </c>
      <c r="N81" s="164" t="e">
        <f>E81-#REF!</f>
        <v>#REF!</v>
      </c>
      <c r="O81" s="168" t="e">
        <f>F81-#REF!</f>
        <v>#REF!</v>
      </c>
      <c r="P81" s="167" t="e">
        <f t="shared" si="29"/>
        <v>#REF!</v>
      </c>
      <c r="Q81" s="167"/>
      <c r="R81" s="38"/>
      <c r="S81" s="97"/>
      <c r="T81" s="147">
        <f t="shared" si="30"/>
        <v>0</v>
      </c>
    </row>
    <row r="82" spans="2:20" ht="30">
      <c r="B82" s="28" t="s">
        <v>47</v>
      </c>
      <c r="C82" s="73"/>
      <c r="D82" s="183">
        <f>D78+D81+D79+D80</f>
        <v>9501</v>
      </c>
      <c r="E82" s="183">
        <f>E78+E81+E79+E80</f>
        <v>5127.3</v>
      </c>
      <c r="F82" s="184">
        <f>F78+F81+F79+F80</f>
        <v>4908.47</v>
      </c>
      <c r="G82" s="183">
        <f>G78+G81+G79+G80</f>
        <v>-218.83000000000004</v>
      </c>
      <c r="H82" s="186">
        <f>F82/E82*100</f>
        <v>95.73206170889162</v>
      </c>
      <c r="I82" s="187">
        <f t="shared" si="27"/>
        <v>-4592.53</v>
      </c>
      <c r="J82" s="187">
        <f>F82/D82*100</f>
        <v>51.66266708767498</v>
      </c>
      <c r="K82" s="187">
        <v>0.83</v>
      </c>
      <c r="L82" s="187">
        <f t="shared" si="28"/>
        <v>4907.64</v>
      </c>
      <c r="M82" s="225">
        <f>F82/K82</f>
        <v>5913.819277108434</v>
      </c>
      <c r="N82" s="185" t="e">
        <f>N78+N81+N79+N80</f>
        <v>#REF!</v>
      </c>
      <c r="O82" s="189" t="e">
        <f>O78+O81+O79+O80</f>
        <v>#REF!</v>
      </c>
      <c r="P82" s="185" t="e">
        <f>P78+P81+P79+P80</f>
        <v>#REF!</v>
      </c>
      <c r="Q82" s="187" t="e">
        <f>O82/N82*100</f>
        <v>#REF!</v>
      </c>
      <c r="R82" s="39"/>
      <c r="S82" s="96"/>
      <c r="T82" s="147">
        <f t="shared" si="30"/>
        <v>4373.7</v>
      </c>
    </row>
    <row r="83" spans="2:20" ht="30.75">
      <c r="B83" s="12" t="s">
        <v>41</v>
      </c>
      <c r="C83" s="43">
        <v>24110900</v>
      </c>
      <c r="D83" s="180">
        <v>43</v>
      </c>
      <c r="E83" s="180">
        <v>20.3</v>
      </c>
      <c r="F83" s="181">
        <v>18.76</v>
      </c>
      <c r="G83" s="162">
        <f t="shared" si="26"/>
        <v>-1.5399999999999991</v>
      </c>
      <c r="H83" s="164">
        <f>F83/E83*100</f>
        <v>92.41379310344828</v>
      </c>
      <c r="I83" s="167">
        <f t="shared" si="27"/>
        <v>-24.24</v>
      </c>
      <c r="J83" s="167">
        <f>F83/D83*100</f>
        <v>43.62790697674419</v>
      </c>
      <c r="K83" s="167">
        <v>20.55</v>
      </c>
      <c r="L83" s="167">
        <f t="shared" si="28"/>
        <v>-1.7899999999999991</v>
      </c>
      <c r="M83" s="211">
        <f>F83/K83</f>
        <v>0.9128953771289539</v>
      </c>
      <c r="N83" s="164" t="e">
        <f>E83-#REF!</f>
        <v>#REF!</v>
      </c>
      <c r="O83" s="168" t="e">
        <f>F83-#REF!</f>
        <v>#REF!</v>
      </c>
      <c r="P83" s="167" t="e">
        <f t="shared" si="29"/>
        <v>#REF!</v>
      </c>
      <c r="Q83" s="167" t="e">
        <f>O83/N83</f>
        <v>#REF!</v>
      </c>
      <c r="R83" s="38"/>
      <c r="S83" s="97"/>
      <c r="T83" s="147">
        <f t="shared" si="30"/>
        <v>22.7</v>
      </c>
    </row>
    <row r="84" spans="2:20" ht="18" hidden="1">
      <c r="B84" s="122"/>
      <c r="C84" s="43"/>
      <c r="D84" s="180"/>
      <c r="E84" s="180"/>
      <c r="F84" s="181"/>
      <c r="G84" s="162"/>
      <c r="H84" s="164"/>
      <c r="I84" s="167"/>
      <c r="J84" s="167"/>
      <c r="K84" s="167">
        <f>F84-0</f>
        <v>0</v>
      </c>
      <c r="L84" s="167"/>
      <c r="M84" s="167"/>
      <c r="N84" s="164" t="e">
        <f>E84-#REF!</f>
        <v>#REF!</v>
      </c>
      <c r="O84" s="168" t="e">
        <f>F84-#REF!</f>
        <v>#REF!</v>
      </c>
      <c r="P84" s="167" t="e">
        <f t="shared" si="29"/>
        <v>#REF!</v>
      </c>
      <c r="Q84" s="167"/>
      <c r="R84" s="38"/>
      <c r="S84" s="97"/>
      <c r="T84" s="147">
        <f t="shared" si="30"/>
        <v>0</v>
      </c>
    </row>
    <row r="85" spans="2:20" ht="23.25" customHeight="1">
      <c r="B85" s="14" t="s">
        <v>31</v>
      </c>
      <c r="C85" s="66"/>
      <c r="D85" s="191">
        <f>D71+D83+D77+D82</f>
        <v>27215</v>
      </c>
      <c r="E85" s="191">
        <f>E71+E83+E77+E82</f>
        <v>12376.76</v>
      </c>
      <c r="F85" s="191">
        <f>F71+F83+F77+F82+F84</f>
        <v>22727.190000000002</v>
      </c>
      <c r="G85" s="192">
        <f>F85-E85</f>
        <v>10350.430000000002</v>
      </c>
      <c r="H85" s="193">
        <f>F85/E85*100</f>
        <v>183.62794463171298</v>
      </c>
      <c r="I85" s="194">
        <f>F85-D85</f>
        <v>-4487.809999999998</v>
      </c>
      <c r="J85" s="194">
        <f>F85/D85*100</f>
        <v>83.50979239390043</v>
      </c>
      <c r="K85" s="194">
        <v>5963.75</v>
      </c>
      <c r="L85" s="194">
        <f>F85-K85</f>
        <v>16763.440000000002</v>
      </c>
      <c r="M85" s="226">
        <f>F85/K85</f>
        <v>3.8108891217774055</v>
      </c>
      <c r="N85" s="191" t="e">
        <f>N71+N83+N77+N82</f>
        <v>#REF!</v>
      </c>
      <c r="O85" s="191" t="e">
        <f>O71+O83+O77+O82+O84</f>
        <v>#REF!</v>
      </c>
      <c r="P85" s="194" t="e">
        <f t="shared" si="29"/>
        <v>#REF!</v>
      </c>
      <c r="Q85" s="194" t="e">
        <f>O85/N85*100</f>
        <v>#REF!</v>
      </c>
      <c r="R85" s="27" t="e">
        <f>O85-8104.96</f>
        <v>#REF!</v>
      </c>
      <c r="S85" s="95" t="e">
        <f>O85/8104.96</f>
        <v>#REF!</v>
      </c>
      <c r="T85" s="147">
        <f t="shared" si="30"/>
        <v>14838.24</v>
      </c>
    </row>
    <row r="86" spans="2:20" ht="17.25">
      <c r="B86" s="21" t="s">
        <v>32</v>
      </c>
      <c r="C86" s="66"/>
      <c r="D86" s="191">
        <f>D64+D85</f>
        <v>911115.6</v>
      </c>
      <c r="E86" s="191">
        <f>E64+E85</f>
        <v>536337.57</v>
      </c>
      <c r="F86" s="191">
        <f>F64+F85</f>
        <v>603334.9700000002</v>
      </c>
      <c r="G86" s="192">
        <f>F86-E86</f>
        <v>66997.40000000026</v>
      </c>
      <c r="H86" s="193">
        <f>F86/E86*100</f>
        <v>112.49164775087456</v>
      </c>
      <c r="I86" s="194">
        <f>F86-D86</f>
        <v>-307780.6299999998</v>
      </c>
      <c r="J86" s="194">
        <f>F86/D86*100</f>
        <v>66.21936557775986</v>
      </c>
      <c r="K86" s="194">
        <f>K64+K85</f>
        <v>391575.74</v>
      </c>
      <c r="L86" s="194">
        <f>F86-K86</f>
        <v>211759.2300000002</v>
      </c>
      <c r="M86" s="226">
        <f>F86/K86</f>
        <v>1.5407874093527862</v>
      </c>
      <c r="N86" s="192" t="e">
        <f>N64+N85</f>
        <v>#REF!</v>
      </c>
      <c r="O86" s="192" t="e">
        <f>O64+O85</f>
        <v>#REF!</v>
      </c>
      <c r="P86" s="194" t="e">
        <f t="shared" si="29"/>
        <v>#REF!</v>
      </c>
      <c r="Q86" s="194" t="e">
        <f>O86/N86*100</f>
        <v>#REF!</v>
      </c>
      <c r="R86" s="27" t="e">
        <f>O86-42872.96</f>
        <v>#REF!</v>
      </c>
      <c r="S86" s="95" t="e">
        <f>O86/42872.96</f>
        <v>#REF!</v>
      </c>
      <c r="T86" s="147">
        <f t="shared" si="30"/>
        <v>374778.03</v>
      </c>
    </row>
    <row r="87" spans="2:20" ht="15">
      <c r="B87" s="20" t="s">
        <v>34</v>
      </c>
      <c r="O87" s="25"/>
      <c r="T87" s="147">
        <f t="shared" si="30"/>
        <v>0</v>
      </c>
    </row>
    <row r="88" spans="2:20" ht="15">
      <c r="B88" s="4" t="s">
        <v>36</v>
      </c>
      <c r="C88" s="76">
        <v>0</v>
      </c>
      <c r="D88" s="4" t="s">
        <v>35</v>
      </c>
      <c r="O88" s="78"/>
      <c r="T88" s="147" t="e">
        <f t="shared" si="30"/>
        <v>#VALUE!</v>
      </c>
    </row>
    <row r="89" spans="2:20" ht="30.75">
      <c r="B89" s="52" t="s">
        <v>53</v>
      </c>
      <c r="C89" s="29" t="e">
        <f>IF(P64&lt;0,ABS(P64/C88),0)</f>
        <v>#REF!</v>
      </c>
      <c r="D89" s="4" t="s">
        <v>24</v>
      </c>
      <c r="G89" s="268"/>
      <c r="H89" s="268"/>
      <c r="I89" s="268"/>
      <c r="J89" s="268"/>
      <c r="K89" s="84"/>
      <c r="L89" s="84"/>
      <c r="M89" s="84"/>
      <c r="Q89" s="25"/>
      <c r="R89" s="25"/>
      <c r="T89" s="147" t="e">
        <f t="shared" si="30"/>
        <v>#VALUE!</v>
      </c>
    </row>
    <row r="90" spans="2:20" ht="34.5" customHeight="1">
      <c r="B90" s="53" t="s">
        <v>55</v>
      </c>
      <c r="C90" s="81">
        <v>42580</v>
      </c>
      <c r="D90" s="29">
        <v>10337.3</v>
      </c>
      <c r="G90" s="4" t="s">
        <v>58</v>
      </c>
      <c r="O90" s="269"/>
      <c r="P90" s="269"/>
      <c r="T90" s="147">
        <f t="shared" si="30"/>
        <v>10337.3</v>
      </c>
    </row>
    <row r="91" spans="3:16" ht="15">
      <c r="C91" s="81">
        <v>42579</v>
      </c>
      <c r="D91" s="29">
        <v>10816</v>
      </c>
      <c r="F91" s="113" t="s">
        <v>58</v>
      </c>
      <c r="G91" s="270"/>
      <c r="H91" s="270"/>
      <c r="I91" s="118"/>
      <c r="J91" s="271"/>
      <c r="K91" s="271"/>
      <c r="L91" s="271"/>
      <c r="M91" s="271"/>
      <c r="N91" s="271"/>
      <c r="O91" s="269"/>
      <c r="P91" s="269"/>
    </row>
    <row r="92" spans="3:16" ht="15.75" customHeight="1">
      <c r="C92" s="81">
        <v>42578</v>
      </c>
      <c r="D92" s="29">
        <v>8357.1</v>
      </c>
      <c r="F92" s="68"/>
      <c r="G92" s="270"/>
      <c r="H92" s="270"/>
      <c r="I92" s="118"/>
      <c r="J92" s="272"/>
      <c r="K92" s="272"/>
      <c r="L92" s="272"/>
      <c r="M92" s="272"/>
      <c r="N92" s="272"/>
      <c r="O92" s="269"/>
      <c r="P92" s="269"/>
    </row>
    <row r="93" spans="3:14" ht="15.75" customHeight="1">
      <c r="C93" s="81"/>
      <c r="F93" s="68"/>
      <c r="G93" s="276"/>
      <c r="H93" s="276"/>
      <c r="I93" s="124"/>
      <c r="J93" s="271"/>
      <c r="K93" s="271"/>
      <c r="L93" s="271"/>
      <c r="M93" s="271"/>
      <c r="N93" s="271"/>
    </row>
    <row r="94" spans="2:14" ht="18.75" customHeight="1">
      <c r="B94" s="277" t="s">
        <v>56</v>
      </c>
      <c r="C94" s="278"/>
      <c r="D94" s="133">
        <v>14372.98265</v>
      </c>
      <c r="E94" s="69"/>
      <c r="F94" s="125" t="s">
        <v>110</v>
      </c>
      <c r="G94" s="270"/>
      <c r="H94" s="270"/>
      <c r="I94" s="126"/>
      <c r="J94" s="271"/>
      <c r="K94" s="271"/>
      <c r="L94" s="271"/>
      <c r="M94" s="271"/>
      <c r="N94" s="271"/>
    </row>
    <row r="95" spans="6:13" ht="9.75" customHeight="1" hidden="1">
      <c r="F95" s="68"/>
      <c r="G95" s="270"/>
      <c r="H95" s="270"/>
      <c r="I95" s="68"/>
      <c r="J95" s="69"/>
      <c r="K95" s="69"/>
      <c r="L95" s="69"/>
      <c r="M95" s="69"/>
    </row>
    <row r="96" spans="2:13" ht="22.5" customHeight="1" hidden="1">
      <c r="B96" s="273" t="s">
        <v>59</v>
      </c>
      <c r="C96" s="274"/>
      <c r="D96" s="80">
        <v>0</v>
      </c>
      <c r="E96" s="51" t="s">
        <v>24</v>
      </c>
      <c r="F96" s="68"/>
      <c r="G96" s="270"/>
      <c r="H96" s="270"/>
      <c r="I96" s="68"/>
      <c r="J96" s="69"/>
      <c r="K96" s="69"/>
      <c r="L96" s="69"/>
      <c r="M96" s="69"/>
    </row>
    <row r="97" spans="4:16" ht="15" hidden="1">
      <c r="D97" s="68">
        <f>D45+D48+D49</f>
        <v>1640</v>
      </c>
      <c r="E97" s="68">
        <f>E45+E48+E49</f>
        <v>722</v>
      </c>
      <c r="F97" s="205">
        <f>F45+F48+F49</f>
        <v>374.3</v>
      </c>
      <c r="G97" s="68">
        <f>G45+G48+G49</f>
        <v>-347.7</v>
      </c>
      <c r="H97" s="69"/>
      <c r="I97" s="69"/>
      <c r="N97" s="29" t="e">
        <f>N45+N48+N49</f>
        <v>#REF!</v>
      </c>
      <c r="O97" s="204" t="e">
        <f>O45+O48+O49</f>
        <v>#REF!</v>
      </c>
      <c r="P97" s="29" t="e">
        <f>P45+P48+P49</f>
        <v>#REF!</v>
      </c>
    </row>
    <row r="98" spans="4:16" ht="15">
      <c r="D98" s="78"/>
      <c r="I98" s="29"/>
      <c r="O98" s="275"/>
      <c r="P98" s="275"/>
    </row>
    <row r="99" spans="15:16" ht="15">
      <c r="O99" s="270"/>
      <c r="P99" s="270"/>
    </row>
    <row r="100" ht="15">
      <c r="O100" s="29"/>
    </row>
    <row r="103" ht="15">
      <c r="E103" s="4" t="s">
        <v>58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2017-01-17T08:21:36Z</cp:lastPrinted>
  <dcterms:created xsi:type="dcterms:W3CDTF">2003-07-28T11:27:56Z</dcterms:created>
  <dcterms:modified xsi:type="dcterms:W3CDTF">2017-01-17T08:28:39Z</dcterms:modified>
  <cp:category/>
  <cp:version/>
  <cp:contentType/>
  <cp:contentStatus/>
</cp:coreProperties>
</file>